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Richard Fontaine\Wevalgo\Wevalgo - Documents (1)\Knowledge\DILO\"/>
    </mc:Choice>
  </mc:AlternateContent>
  <xr:revisionPtr revIDLastSave="33" documentId="104_{117732B9-EE46-45D6-8AC8-E08A02CDA9B4}" xr6:coauthVersionLast="41" xr6:coauthVersionMax="41" xr10:uidLastSave="{0A461F0D-8FEB-4316-8B4E-3D6BE134DDCD}"/>
  <bookViews>
    <workbookView xWindow="-110" yWindow="-110" windowWidth="38620" windowHeight="21220" tabRatio="743" xr2:uid="{00000000-000D-0000-FFFF-FFFF00000000}"/>
  </bookViews>
  <sheets>
    <sheet name="Instructions" sheetId="20" r:id="rId1"/>
    <sheet name="Timesheet" sheetId="4" r:id="rId2"/>
    <sheet name="Categories Calcul" sheetId="1" r:id="rId3"/>
    <sheet name="Chart - public" sheetId="19" r:id="rId4"/>
    <sheet name="Chart - Waterfall" sheetId="18" r:id="rId5"/>
    <sheet name="Chart - Pie" sheetId="10" r:id="rId6"/>
    <sheet name="Chart - detail all" sheetId="13" r:id="rId7"/>
    <sheet name="Chart NVA_VA and NVA details" sheetId="14" r:id="rId8"/>
    <sheet name="Chart NVA details only" sheetId="15" r:id="rId9"/>
    <sheet name="Improvement" sheetId="16" r:id="rId10"/>
  </sheets>
  <definedNames>
    <definedName name="NVA_name">'Categories Calcul'!$C$4</definedName>
    <definedName name="_xlnm.Print_Area" localSheetId="1">Timesheet!$A$7:$D$61</definedName>
    <definedName name="VA_name">'Categories Calcul'!$C$3</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5" i="16" l="1"/>
  <c r="M26" i="16" l="1"/>
  <c r="N25" i="16"/>
  <c r="N26" i="16" s="1"/>
  <c r="N24" i="16"/>
  <c r="M24" i="16"/>
  <c r="B15" i="16" l="1"/>
  <c r="P32" i="1" l="1"/>
  <c r="P31" i="1"/>
  <c r="P30" i="1"/>
  <c r="P29" i="1"/>
  <c r="P28" i="1"/>
  <c r="P27" i="1"/>
  <c r="P26" i="1"/>
  <c r="P25" i="1"/>
  <c r="P24" i="1"/>
  <c r="P23" i="1"/>
  <c r="P20" i="1"/>
  <c r="P19" i="1"/>
  <c r="P18" i="1"/>
  <c r="P17" i="1"/>
  <c r="P16" i="1"/>
  <c r="P15" i="1"/>
  <c r="P14" i="1"/>
  <c r="P13" i="1"/>
  <c r="P12" i="1"/>
  <c r="P11" i="1"/>
  <c r="L38" i="10" l="1"/>
  <c r="B38" i="10"/>
  <c r="B25" i="16" l="1"/>
  <c r="B24" i="16"/>
  <c r="D15" i="16"/>
  <c r="B14" i="16"/>
  <c r="D14" i="16" s="1"/>
  <c r="B13" i="16"/>
  <c r="D13" i="16" s="1"/>
  <c r="B12" i="16"/>
  <c r="C12" i="16" s="1"/>
  <c r="N12" i="16" s="1"/>
  <c r="B11" i="16"/>
  <c r="D11" i="16" s="1"/>
  <c r="B10" i="16"/>
  <c r="D10" i="16" s="1"/>
  <c r="B9" i="16"/>
  <c r="D9" i="16" s="1"/>
  <c r="B8" i="16"/>
  <c r="C8" i="16" s="1"/>
  <c r="N8" i="16" s="1"/>
  <c r="B7" i="16"/>
  <c r="C7" i="16" s="1"/>
  <c r="N7" i="16" s="1"/>
  <c r="B6" i="16"/>
  <c r="D6" i="16" s="1"/>
  <c r="A3" i="16"/>
  <c r="N46" i="1"/>
  <c r="N21" i="1"/>
  <c r="R10" i="1"/>
  <c r="O21" i="1"/>
  <c r="Q35" i="1"/>
  <c r="O47" i="1"/>
  <c r="O22" i="1"/>
  <c r="T22" i="1" s="1"/>
  <c r="N48" i="1"/>
  <c r="N23" i="1"/>
  <c r="I16" i="1"/>
  <c r="S10" i="1"/>
  <c r="I31" i="1"/>
  <c r="N36" i="1"/>
  <c r="N11" i="1"/>
  <c r="S35" i="1"/>
  <c r="R35" i="1"/>
  <c r="Q10" i="1"/>
  <c r="O32" i="1"/>
  <c r="T32" i="1" s="1"/>
  <c r="O31" i="1"/>
  <c r="T31" i="1" s="1"/>
  <c r="O30" i="1"/>
  <c r="T30" i="1" s="1"/>
  <c r="O29" i="1"/>
  <c r="T29" i="1" s="1"/>
  <c r="O28" i="1"/>
  <c r="T28" i="1" s="1"/>
  <c r="O27" i="1"/>
  <c r="T27" i="1" s="1"/>
  <c r="O26" i="1"/>
  <c r="T26" i="1" s="1"/>
  <c r="O25" i="1"/>
  <c r="T25" i="1" s="1"/>
  <c r="O24" i="1"/>
  <c r="O23" i="1"/>
  <c r="T23" i="1" s="1"/>
  <c r="O20" i="1"/>
  <c r="T20" i="1" s="1"/>
  <c r="O19" i="1"/>
  <c r="T19" i="1" s="1"/>
  <c r="O18" i="1"/>
  <c r="T18" i="1" s="1"/>
  <c r="O17" i="1"/>
  <c r="T17" i="1" s="1"/>
  <c r="O16" i="1"/>
  <c r="T16" i="1" s="1"/>
  <c r="O15" i="1"/>
  <c r="T15" i="1" s="1"/>
  <c r="O14" i="1"/>
  <c r="T14" i="1" s="1"/>
  <c r="O13" i="1"/>
  <c r="T13" i="1" s="1"/>
  <c r="O12" i="1"/>
  <c r="T12" i="1" s="1"/>
  <c r="O11" i="1"/>
  <c r="T11" i="1" s="1"/>
  <c r="T24" i="1"/>
  <c r="T21" i="1"/>
  <c r="A18" i="4"/>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C14" i="1"/>
  <c r="C13" i="1"/>
  <c r="C15" i="1"/>
  <c r="C21" i="1"/>
  <c r="C20" i="1"/>
  <c r="C23" i="1"/>
  <c r="C22" i="1"/>
  <c r="C24" i="1"/>
  <c r="C25" i="1"/>
  <c r="C28" i="1"/>
  <c r="C27" i="1"/>
  <c r="C30" i="1"/>
  <c r="C29" i="1"/>
  <c r="C36" i="1"/>
  <c r="C35" i="1"/>
  <c r="C37" i="1"/>
  <c r="C49" i="1"/>
  <c r="C48" i="1"/>
  <c r="C51" i="1"/>
  <c r="C50" i="1"/>
  <c r="C54" i="1"/>
  <c r="C53" i="1"/>
  <c r="C55" i="1"/>
  <c r="C60" i="1"/>
  <c r="C59" i="1"/>
  <c r="C64" i="1"/>
  <c r="C63" i="1"/>
  <c r="C66" i="1"/>
  <c r="C65" i="1"/>
  <c r="C69" i="1"/>
  <c r="C68" i="1"/>
  <c r="C71" i="1"/>
  <c r="C70" i="1"/>
  <c r="C74" i="1"/>
  <c r="C73" i="1"/>
  <c r="C78" i="1"/>
  <c r="C77" i="1"/>
  <c r="C79" i="1"/>
  <c r="C82" i="1"/>
  <c r="D81" i="1" s="1"/>
  <c r="G81" i="1" s="1"/>
  <c r="C16" i="1"/>
  <c r="C17" i="1"/>
  <c r="C18" i="1"/>
  <c r="C19" i="1"/>
  <c r="C26" i="1"/>
  <c r="C33" i="1"/>
  <c r="C32" i="1"/>
  <c r="C34" i="1"/>
  <c r="C38" i="1"/>
  <c r="C40" i="1"/>
  <c r="C39" i="1"/>
  <c r="C41" i="1"/>
  <c r="C42" i="1"/>
  <c r="C43" i="1"/>
  <c r="C44" i="1"/>
  <c r="C45" i="1"/>
  <c r="C46" i="1"/>
  <c r="C47" i="1"/>
  <c r="C52" i="1"/>
  <c r="C56" i="1"/>
  <c r="D55" i="1" s="1"/>
  <c r="G55" i="1" s="1"/>
  <c r="C57" i="1"/>
  <c r="C58" i="1"/>
  <c r="C61" i="1"/>
  <c r="C62" i="1"/>
  <c r="C67" i="1"/>
  <c r="C72" i="1"/>
  <c r="C75" i="1"/>
  <c r="C76" i="1"/>
  <c r="C80" i="1"/>
  <c r="C81" i="1"/>
  <c r="L18" i="1"/>
  <c r="L33" i="1" s="1"/>
  <c r="K18" i="1"/>
  <c r="C5" i="16" s="1"/>
  <c r="B5" i="16"/>
  <c r="L17" i="1"/>
  <c r="L32" i="1" s="1"/>
  <c r="K17" i="1"/>
  <c r="C4" i="16" s="1"/>
  <c r="B4" i="16"/>
  <c r="O46" i="1"/>
  <c r="J44" i="1"/>
  <c r="J33" i="1"/>
  <c r="J32" i="1"/>
  <c r="B11" i="1"/>
  <c r="B10" i="1"/>
  <c r="B64" i="1"/>
  <c r="B48" i="1"/>
  <c r="C12" i="1"/>
  <c r="C31" i="1"/>
  <c r="C89" i="1"/>
  <c r="D88" i="1" s="1"/>
  <c r="G88" i="1" s="1"/>
  <c r="C88" i="1"/>
  <c r="D87" i="1" s="1"/>
  <c r="G87" i="1" s="1"/>
  <c r="C91" i="1"/>
  <c r="D90" i="1" s="1"/>
  <c r="G90" i="1" s="1"/>
  <c r="C90" i="1"/>
  <c r="D89" i="1" s="1"/>
  <c r="G89" i="1" s="1"/>
  <c r="C93" i="1"/>
  <c r="D92" i="1" s="1"/>
  <c r="G92" i="1" s="1"/>
  <c r="C92" i="1"/>
  <c r="D91" i="1" s="1"/>
  <c r="G91" i="1" s="1"/>
  <c r="C95" i="1"/>
  <c r="D94" i="1" s="1"/>
  <c r="G94" i="1" s="1"/>
  <c r="C94" i="1"/>
  <c r="D93" i="1" s="1"/>
  <c r="G93" i="1" s="1"/>
  <c r="C97" i="1"/>
  <c r="D96" i="1" s="1"/>
  <c r="G96" i="1" s="1"/>
  <c r="C96" i="1"/>
  <c r="D95" i="1" s="1"/>
  <c r="G95" i="1" s="1"/>
  <c r="C98" i="1"/>
  <c r="D97" i="1" s="1"/>
  <c r="G97" i="1" s="1"/>
  <c r="C101" i="1"/>
  <c r="D100" i="1" s="1"/>
  <c r="G100" i="1" s="1"/>
  <c r="C100" i="1"/>
  <c r="D99" i="1" s="1"/>
  <c r="G99" i="1" s="1"/>
  <c r="C106" i="1"/>
  <c r="D105" i="1" s="1"/>
  <c r="G105" i="1" s="1"/>
  <c r="C105" i="1"/>
  <c r="D104" i="1" s="1"/>
  <c r="G104" i="1" s="1"/>
  <c r="C108" i="1"/>
  <c r="D107" i="1" s="1"/>
  <c r="G107" i="1" s="1"/>
  <c r="C107" i="1"/>
  <c r="D106" i="1" s="1"/>
  <c r="G106" i="1" s="1"/>
  <c r="C111" i="1"/>
  <c r="D110" i="1" s="1"/>
  <c r="G110" i="1" s="1"/>
  <c r="C110" i="1"/>
  <c r="D109" i="1" s="1"/>
  <c r="G109" i="1" s="1"/>
  <c r="C160" i="1"/>
  <c r="D159" i="1" s="1"/>
  <c r="G159" i="1" s="1"/>
  <c r="C175" i="1"/>
  <c r="D114" i="1" s="1"/>
  <c r="G114" i="1" s="1"/>
  <c r="C179" i="1"/>
  <c r="D118" i="1" s="1"/>
  <c r="G118" i="1" s="1"/>
  <c r="D122" i="1"/>
  <c r="G122" i="1" s="1"/>
  <c r="D127" i="1"/>
  <c r="G127" i="1" s="1"/>
  <c r="C83" i="1"/>
  <c r="D82" i="1" s="1"/>
  <c r="G82" i="1" s="1"/>
  <c r="C87" i="1"/>
  <c r="D86" i="1" s="1"/>
  <c r="G86" i="1" s="1"/>
  <c r="C86" i="1"/>
  <c r="D85" i="1" s="1"/>
  <c r="G85" i="1" s="1"/>
  <c r="C99" i="1"/>
  <c r="D98" i="1" s="1"/>
  <c r="G98" i="1" s="1"/>
  <c r="C102" i="1"/>
  <c r="D101" i="1" s="1"/>
  <c r="G101" i="1" s="1"/>
  <c r="C104" i="1"/>
  <c r="D103" i="1" s="1"/>
  <c r="G103" i="1" s="1"/>
  <c r="C109" i="1"/>
  <c r="D108" i="1" s="1"/>
  <c r="G108" i="1" s="1"/>
  <c r="C159" i="1"/>
  <c r="D111" i="1" s="1"/>
  <c r="G111" i="1" s="1"/>
  <c r="C161" i="1"/>
  <c r="D113" i="1" s="1"/>
  <c r="G113" i="1" s="1"/>
  <c r="C176" i="1"/>
  <c r="C180" i="1"/>
  <c r="D179" i="1" s="1"/>
  <c r="G179" i="1" s="1"/>
  <c r="D123" i="1"/>
  <c r="G123" i="1" s="1"/>
  <c r="D126" i="1"/>
  <c r="G126" i="1" s="1"/>
  <c r="D130" i="1"/>
  <c r="G130" i="1" s="1"/>
  <c r="C85" i="1"/>
  <c r="D84" i="1" s="1"/>
  <c r="G84" i="1" s="1"/>
  <c r="C103" i="1"/>
  <c r="D102" i="1" s="1"/>
  <c r="G102" i="1" s="1"/>
  <c r="C178" i="1"/>
  <c r="D117" i="1" s="1"/>
  <c r="G117" i="1" s="1"/>
  <c r="D121" i="1"/>
  <c r="G121" i="1" s="1"/>
  <c r="D128" i="1"/>
  <c r="G128" i="1" s="1"/>
  <c r="C84" i="1"/>
  <c r="D83" i="1" s="1"/>
  <c r="G83" i="1" s="1"/>
  <c r="C181" i="1"/>
  <c r="D180" i="1" s="1"/>
  <c r="G180" i="1" s="1"/>
  <c r="D124" i="1"/>
  <c r="G124" i="1" s="1"/>
  <c r="D129" i="1"/>
  <c r="G129" i="1" s="1"/>
  <c r="C177" i="1"/>
  <c r="D163" i="1" s="1"/>
  <c r="G163" i="1" s="1"/>
  <c r="D125" i="1"/>
  <c r="G125" i="1" s="1"/>
  <c r="D131" i="1"/>
  <c r="G131" i="1" s="1"/>
  <c r="D132" i="1"/>
  <c r="G132" i="1" s="1"/>
  <c r="D133" i="1"/>
  <c r="G133" i="1" s="1"/>
  <c r="D134" i="1"/>
  <c r="G134" i="1" s="1"/>
  <c r="D135" i="1"/>
  <c r="G135" i="1" s="1"/>
  <c r="D136" i="1"/>
  <c r="G136" i="1" s="1"/>
  <c r="D137" i="1"/>
  <c r="G137" i="1" s="1"/>
  <c r="D138" i="1"/>
  <c r="G138" i="1" s="1"/>
  <c r="D139" i="1"/>
  <c r="G139" i="1" s="1"/>
  <c r="D140" i="1"/>
  <c r="G140" i="1" s="1"/>
  <c r="D141" i="1"/>
  <c r="G141" i="1" s="1"/>
  <c r="D142" i="1"/>
  <c r="G142" i="1" s="1"/>
  <c r="D143" i="1"/>
  <c r="G143" i="1" s="1"/>
  <c r="D144" i="1"/>
  <c r="G144" i="1" s="1"/>
  <c r="D145" i="1"/>
  <c r="G145" i="1" s="1"/>
  <c r="D146" i="1"/>
  <c r="G146" i="1" s="1"/>
  <c r="D147" i="1"/>
  <c r="G147" i="1" s="1"/>
  <c r="D148" i="1"/>
  <c r="G148" i="1" s="1"/>
  <c r="D149" i="1"/>
  <c r="G149" i="1" s="1"/>
  <c r="D150" i="1"/>
  <c r="G150" i="1" s="1"/>
  <c r="D151" i="1"/>
  <c r="G151" i="1" s="1"/>
  <c r="D152" i="1"/>
  <c r="G152" i="1" s="1"/>
  <c r="D153" i="1"/>
  <c r="G153" i="1" s="1"/>
  <c r="D154" i="1"/>
  <c r="G154" i="1" s="1"/>
  <c r="D155" i="1"/>
  <c r="G155" i="1" s="1"/>
  <c r="D156" i="1"/>
  <c r="G156" i="1" s="1"/>
  <c r="D157" i="1"/>
  <c r="G157" i="1" s="1"/>
  <c r="D158" i="1"/>
  <c r="G158" i="1" s="1"/>
  <c r="D168" i="1"/>
  <c r="G168" i="1" s="1"/>
  <c r="D169" i="1"/>
  <c r="G169" i="1" s="1"/>
  <c r="D170" i="1"/>
  <c r="G170" i="1" s="1"/>
  <c r="D171" i="1"/>
  <c r="G171" i="1" s="1"/>
  <c r="D172" i="1"/>
  <c r="G172" i="1" s="1"/>
  <c r="D173" i="1"/>
  <c r="G173" i="1" s="1"/>
  <c r="D174" i="1"/>
  <c r="G174" i="1" s="1"/>
  <c r="G181" i="1"/>
  <c r="B7" i="1"/>
  <c r="J7" i="1" s="1"/>
  <c r="B8" i="1"/>
  <c r="J8" i="1" s="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9" i="1"/>
  <c r="B50" i="1"/>
  <c r="B51" i="1"/>
  <c r="B52" i="1"/>
  <c r="B53" i="1"/>
  <c r="B54" i="1"/>
  <c r="B55" i="1"/>
  <c r="B56" i="1"/>
  <c r="B57" i="1"/>
  <c r="B58" i="1"/>
  <c r="B59" i="1"/>
  <c r="B60"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62" i="1"/>
  <c r="C163" i="1"/>
  <c r="C164" i="1"/>
  <c r="C165" i="1"/>
  <c r="C166" i="1"/>
  <c r="C167" i="1"/>
  <c r="C168" i="1"/>
  <c r="C169" i="1"/>
  <c r="C170" i="1"/>
  <c r="C171" i="1"/>
  <c r="C172" i="1"/>
  <c r="C173" i="1"/>
  <c r="C174" i="1"/>
  <c r="B61" i="1"/>
  <c r="B62" i="1"/>
  <c r="B63"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C8" i="1"/>
  <c r="K8" i="1" s="1"/>
  <c r="C7" i="1"/>
  <c r="K7" i="1" s="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M11" i="16" l="1"/>
  <c r="M15" i="16"/>
  <c r="M8" i="16"/>
  <c r="M12" i="16"/>
  <c r="M7" i="16"/>
  <c r="M9" i="16"/>
  <c r="M13" i="16"/>
  <c r="M6" i="16"/>
  <c r="M10" i="16"/>
  <c r="M14" i="16"/>
  <c r="D12" i="16"/>
  <c r="C13" i="16"/>
  <c r="N13" i="16" s="1"/>
  <c r="C14" i="16"/>
  <c r="N14" i="16" s="1"/>
  <c r="C10" i="16"/>
  <c r="N10" i="16" s="1"/>
  <c r="C11" i="16"/>
  <c r="N11" i="16" s="1"/>
  <c r="D7" i="16"/>
  <c r="C6" i="16"/>
  <c r="N6" i="16" s="1"/>
  <c r="D8" i="16"/>
  <c r="C9" i="16"/>
  <c r="N9" i="16" s="1"/>
  <c r="C15" i="16"/>
  <c r="N15" i="16" s="1"/>
  <c r="D34" i="1"/>
  <c r="G34" i="1" s="1"/>
  <c r="D21" i="1"/>
  <c r="G21" i="1" s="1"/>
  <c r="K33" i="1"/>
  <c r="D165" i="1"/>
  <c r="G165" i="1" s="1"/>
  <c r="D51" i="1"/>
  <c r="G51" i="1" s="1"/>
  <c r="D178" i="1"/>
  <c r="G178" i="1" s="1"/>
  <c r="D60" i="1"/>
  <c r="G60" i="1" s="1"/>
  <c r="D5" i="16"/>
  <c r="D25" i="1"/>
  <c r="G25" i="1" s="1"/>
  <c r="D39" i="1"/>
  <c r="G39" i="1" s="1"/>
  <c r="D57" i="1"/>
  <c r="G57" i="1" s="1"/>
  <c r="D80" i="1"/>
  <c r="G80" i="1" s="1"/>
  <c r="D12" i="1"/>
  <c r="G12" i="1" s="1"/>
  <c r="D64" i="1"/>
  <c r="G64" i="1" s="1"/>
  <c r="D71" i="1"/>
  <c r="G71" i="1" s="1"/>
  <c r="D43" i="1"/>
  <c r="G43" i="1" s="1"/>
  <c r="D49" i="1"/>
  <c r="G49" i="1" s="1"/>
  <c r="D61" i="1"/>
  <c r="G61" i="1" s="1"/>
  <c r="D35" i="1"/>
  <c r="G35" i="1" s="1"/>
  <c r="D37" i="1"/>
  <c r="G37" i="1" s="1"/>
  <c r="D166" i="1"/>
  <c r="G166" i="1" s="1"/>
  <c r="D46" i="1"/>
  <c r="G46" i="1" s="1"/>
  <c r="D70" i="1"/>
  <c r="G70" i="1" s="1"/>
  <c r="D24" i="1"/>
  <c r="G24" i="1" s="1"/>
  <c r="D76" i="1"/>
  <c r="G76" i="1" s="1"/>
  <c r="D33" i="1"/>
  <c r="G33" i="1" s="1"/>
  <c r="D4" i="16"/>
  <c r="D75" i="1"/>
  <c r="G75" i="1" s="1"/>
  <c r="D45" i="1"/>
  <c r="G45" i="1" s="1"/>
  <c r="D73" i="1"/>
  <c r="G73" i="1" s="1"/>
  <c r="K38" i="1" s="1"/>
  <c r="D27" i="1"/>
  <c r="G27" i="1" s="1"/>
  <c r="K32" i="1"/>
  <c r="D41" i="1"/>
  <c r="G41" i="1" s="1"/>
  <c r="D19" i="1"/>
  <c r="G19" i="1" s="1"/>
  <c r="D160" i="1"/>
  <c r="G160" i="1" s="1"/>
  <c r="D50" i="1"/>
  <c r="G50" i="1" s="1"/>
  <c r="D40" i="1"/>
  <c r="G40" i="1" s="1"/>
  <c r="K28" i="1" s="1"/>
  <c r="D18" i="1"/>
  <c r="G18" i="1" s="1"/>
  <c r="D68" i="1"/>
  <c r="G68" i="1" s="1"/>
  <c r="D22" i="1"/>
  <c r="G22" i="1" s="1"/>
  <c r="D15" i="1"/>
  <c r="G15" i="1" s="1"/>
  <c r="D20" i="1"/>
  <c r="G20" i="1" s="1"/>
  <c r="D13" i="1"/>
  <c r="G13" i="1" s="1"/>
  <c r="D66" i="1"/>
  <c r="G66" i="1" s="1"/>
  <c r="D31" i="1"/>
  <c r="G31" i="1" s="1"/>
  <c r="D59" i="1"/>
  <c r="G59" i="1" s="1"/>
  <c r="D29" i="1"/>
  <c r="G29" i="1" s="1"/>
  <c r="K42" i="1" s="1"/>
  <c r="D44" i="1"/>
  <c r="G44" i="1" s="1"/>
  <c r="D54" i="1"/>
  <c r="G54" i="1" s="1"/>
  <c r="D52" i="1"/>
  <c r="G52" i="1" s="1"/>
  <c r="D119" i="1"/>
  <c r="G119" i="1" s="1"/>
  <c r="D53" i="1"/>
  <c r="G53" i="1" s="1"/>
  <c r="D164" i="1"/>
  <c r="G164" i="1" s="1"/>
  <c r="D112" i="1"/>
  <c r="G112" i="1" s="1"/>
  <c r="D69" i="1"/>
  <c r="G69" i="1" s="1"/>
  <c r="D67" i="1"/>
  <c r="G67" i="1" s="1"/>
  <c r="K25" i="1" s="1"/>
  <c r="G12" i="16" s="1"/>
  <c r="I12" i="16" s="1"/>
  <c r="O12" i="16" s="1"/>
  <c r="D161" i="1"/>
  <c r="G161" i="1" s="1"/>
  <c r="D23" i="1"/>
  <c r="G23" i="1" s="1"/>
  <c r="D38" i="1"/>
  <c r="G38" i="1" s="1"/>
  <c r="D32" i="1"/>
  <c r="G32" i="1" s="1"/>
  <c r="K43" i="1" s="1"/>
  <c r="D65" i="1"/>
  <c r="G65" i="1" s="1"/>
  <c r="K41" i="1" s="1"/>
  <c r="D48" i="1"/>
  <c r="G48" i="1" s="1"/>
  <c r="D63" i="1"/>
  <c r="G63" i="1" s="1"/>
  <c r="D36" i="1"/>
  <c r="G36" i="1" s="1"/>
  <c r="D177" i="1"/>
  <c r="G177" i="1" s="1"/>
  <c r="D79" i="1"/>
  <c r="G79" i="1" s="1"/>
  <c r="D42" i="1"/>
  <c r="G42" i="1" s="1"/>
  <c r="D26" i="1"/>
  <c r="G26" i="1" s="1"/>
  <c r="D78" i="1"/>
  <c r="G78" i="1" s="1"/>
  <c r="K39" i="1" s="1"/>
  <c r="D56" i="1"/>
  <c r="G56" i="1" s="1"/>
  <c r="D30" i="1"/>
  <c r="G30" i="1" s="1"/>
  <c r="D14" i="1"/>
  <c r="G14" i="1" s="1"/>
  <c r="D74" i="1"/>
  <c r="G74" i="1" s="1"/>
  <c r="D28" i="1"/>
  <c r="G28" i="1" s="1"/>
  <c r="K24" i="1" s="1"/>
  <c r="D115" i="1"/>
  <c r="G115" i="1" s="1"/>
  <c r="D162" i="1"/>
  <c r="G162" i="1" s="1"/>
  <c r="D175" i="1"/>
  <c r="G175" i="1" s="1"/>
  <c r="D176" i="1"/>
  <c r="G176" i="1" s="1"/>
  <c r="D120" i="1"/>
  <c r="G120" i="1" s="1"/>
  <c r="D167" i="1"/>
  <c r="G167" i="1" s="1"/>
  <c r="D116" i="1"/>
  <c r="G116" i="1" s="1"/>
  <c r="A132" i="4"/>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33" i="4"/>
  <c r="D62" i="1"/>
  <c r="G62" i="1" s="1"/>
  <c r="D77" i="1"/>
  <c r="G77" i="1" s="1"/>
  <c r="D17" i="1"/>
  <c r="G17" i="1" s="1"/>
  <c r="D47" i="1"/>
  <c r="G47" i="1" s="1"/>
  <c r="D16" i="1"/>
  <c r="G16" i="1" s="1"/>
  <c r="D72" i="1"/>
  <c r="G72" i="1" s="1"/>
  <c r="D58" i="1"/>
  <c r="G58" i="1" s="1"/>
  <c r="G11" i="16" l="1"/>
  <c r="I11" i="16" s="1"/>
  <c r="O11" i="16" s="1"/>
  <c r="H15" i="16"/>
  <c r="J15" i="16" s="1"/>
  <c r="P15" i="16" s="1"/>
  <c r="K26" i="1"/>
  <c r="H13" i="16" s="1"/>
  <c r="J13" i="16" s="1"/>
  <c r="P13" i="16" s="1"/>
  <c r="K12" i="1"/>
  <c r="K27" i="1"/>
  <c r="G14" i="16" s="1"/>
  <c r="I14" i="16" s="1"/>
  <c r="O14" i="16" s="1"/>
  <c r="K19" i="1"/>
  <c r="H6" i="16" s="1"/>
  <c r="K37" i="1"/>
  <c r="K34" i="1"/>
  <c r="K35" i="1"/>
  <c r="K23" i="1"/>
  <c r="G10" i="16" s="1"/>
  <c r="I10" i="16" s="1"/>
  <c r="O10" i="16" s="1"/>
  <c r="K22" i="1"/>
  <c r="G9" i="16" s="1"/>
  <c r="I9" i="16" s="1"/>
  <c r="O9" i="16" s="1"/>
  <c r="K20" i="1"/>
  <c r="H7" i="16" s="1"/>
  <c r="J7" i="16" s="1"/>
  <c r="P7" i="16" s="1"/>
  <c r="K13" i="1"/>
  <c r="K36" i="1"/>
  <c r="K40" i="1"/>
  <c r="G15" i="16"/>
  <c r="I15" i="16" s="1"/>
  <c r="O15" i="16" s="1"/>
  <c r="K21" i="1"/>
  <c r="H11" i="16"/>
  <c r="J11" i="16" s="1"/>
  <c r="P11" i="16" s="1"/>
  <c r="H12" i="16"/>
  <c r="J12" i="16" s="1"/>
  <c r="P12" i="16" s="1"/>
  <c r="J6" i="16" l="1"/>
  <c r="P6" i="16" s="1"/>
  <c r="K14" i="1"/>
  <c r="L12" i="1" s="1"/>
  <c r="R21" i="1" s="1"/>
  <c r="R46" i="1" s="1"/>
  <c r="R62" i="1" s="1"/>
  <c r="G13" i="16"/>
  <c r="I13" i="16" s="1"/>
  <c r="O13" i="16" s="1"/>
  <c r="H14" i="16"/>
  <c r="J14" i="16" s="1"/>
  <c r="P14" i="16" s="1"/>
  <c r="K44" i="1"/>
  <c r="G6" i="16"/>
  <c r="H9" i="16"/>
  <c r="J9" i="16" s="1"/>
  <c r="P9" i="16" s="1"/>
  <c r="H10" i="16"/>
  <c r="J10" i="16" s="1"/>
  <c r="P10" i="16" s="1"/>
  <c r="G7" i="16"/>
  <c r="I7" i="16" s="1"/>
  <c r="O7" i="16" s="1"/>
  <c r="C16" i="16"/>
  <c r="C25" i="16" s="1"/>
  <c r="H8" i="16"/>
  <c r="J8" i="16" s="1"/>
  <c r="G8" i="16"/>
  <c r="I8" i="16" s="1"/>
  <c r="O8" i="16" s="1"/>
  <c r="K29" i="1"/>
  <c r="L20" i="1" s="1"/>
  <c r="F25" i="16" l="1"/>
  <c r="I6" i="16"/>
  <c r="O6" i="16" s="1"/>
  <c r="G16" i="16"/>
  <c r="D25" i="16" s="1"/>
  <c r="H16" i="16"/>
  <c r="H17" i="16" s="1"/>
  <c r="J16" i="16"/>
  <c r="J17" i="16" s="1"/>
  <c r="P8" i="16"/>
  <c r="L40" i="1"/>
  <c r="Q17" i="1" s="1"/>
  <c r="L13" i="1"/>
  <c r="R22" i="1" s="1"/>
  <c r="R47" i="1" s="1"/>
  <c r="Q62" i="1" s="1"/>
  <c r="C26" i="16"/>
  <c r="F26" i="16" s="1"/>
  <c r="L34" i="1"/>
  <c r="Q11" i="1" s="1"/>
  <c r="L42" i="1"/>
  <c r="Q19" i="1" s="1"/>
  <c r="L37" i="1"/>
  <c r="Q14" i="1" s="1"/>
  <c r="L39" i="1"/>
  <c r="Q16" i="1" s="1"/>
  <c r="L41" i="1"/>
  <c r="Q18" i="1" s="1"/>
  <c r="L36" i="1"/>
  <c r="Q13" i="1" s="1"/>
  <c r="L38" i="1"/>
  <c r="Q15" i="1" s="1"/>
  <c r="L35" i="1"/>
  <c r="Q12" i="1" s="1"/>
  <c r="L43" i="1"/>
  <c r="Q20" i="1" s="1"/>
  <c r="L23" i="1"/>
  <c r="L25" i="1"/>
  <c r="S29" i="1" s="1"/>
  <c r="L26" i="1"/>
  <c r="S30" i="1" s="1"/>
  <c r="L27" i="1"/>
  <c r="S31" i="1" s="1"/>
  <c r="L21" i="1"/>
  <c r="S25" i="1" s="1"/>
  <c r="L28" i="1"/>
  <c r="L19" i="1"/>
  <c r="S23" i="1" s="1"/>
  <c r="L24" i="1"/>
  <c r="L22" i="1"/>
  <c r="S26" i="1" s="1"/>
  <c r="K45" i="1"/>
  <c r="S24" i="1"/>
  <c r="E25" i="16" l="1"/>
  <c r="C24" i="16"/>
  <c r="F24" i="16" s="1"/>
  <c r="G17" i="16"/>
  <c r="G18" i="16"/>
  <c r="G19" i="16" s="1"/>
  <c r="I16" i="16"/>
  <c r="S28" i="1"/>
  <c r="S32" i="1"/>
  <c r="S27" i="1"/>
  <c r="E24" i="16" l="1"/>
  <c r="D24" i="16"/>
  <c r="I18" i="16"/>
  <c r="I19" i="16" s="1"/>
  <c r="I17" i="16"/>
  <c r="Q38" i="1"/>
  <c r="Q37" i="1"/>
  <c r="O38" i="1"/>
  <c r="O37" i="1"/>
  <c r="Q44" i="1"/>
  <c r="Q45" i="1"/>
  <c r="Q40" i="1"/>
  <c r="O45" i="1"/>
  <c r="O41" i="1"/>
  <c r="O36" i="1"/>
  <c r="Q36" i="1"/>
  <c r="Q39" i="1"/>
  <c r="O43" i="1"/>
  <c r="O39" i="1"/>
  <c r="O42" i="1"/>
  <c r="Q41" i="1"/>
  <c r="O44" i="1"/>
  <c r="O40" i="1"/>
  <c r="Q42" i="1"/>
  <c r="Q43" i="1"/>
  <c r="O48" i="1"/>
  <c r="O63" i="1" s="1"/>
  <c r="E26" i="16" l="1"/>
  <c r="H24" i="16" s="1"/>
  <c r="D26" i="16"/>
  <c r="G24" i="16" s="1"/>
  <c r="O50" i="1"/>
  <c r="O65" i="1" s="1"/>
  <c r="S48" i="1"/>
  <c r="O54" i="1"/>
  <c r="O69" i="1" s="1"/>
  <c r="S56" i="1"/>
  <c r="R71" i="1" s="1"/>
  <c r="S54" i="1"/>
  <c r="R69" i="1" s="1"/>
  <c r="O49" i="1"/>
  <c r="O64" i="1" s="1"/>
  <c r="S49" i="1"/>
  <c r="R64" i="1" s="1"/>
  <c r="O52" i="1"/>
  <c r="O67" i="1" s="1"/>
  <c r="S50" i="1"/>
  <c r="R65" i="1" s="1"/>
  <c r="S51" i="1"/>
  <c r="R66" i="1" s="1"/>
  <c r="O56" i="1"/>
  <c r="O71" i="1" s="1"/>
  <c r="S52" i="1"/>
  <c r="R67" i="1" s="1"/>
  <c r="S55" i="1"/>
  <c r="R70" i="1" s="1"/>
  <c r="O51" i="1"/>
  <c r="O66" i="1" s="1"/>
  <c r="O57" i="1"/>
  <c r="O72" i="1" s="1"/>
  <c r="S57" i="1"/>
  <c r="R72" i="1" s="1"/>
  <c r="O55" i="1"/>
  <c r="O70" i="1" s="1"/>
  <c r="S53" i="1"/>
  <c r="R68" i="1" s="1"/>
  <c r="O53" i="1"/>
  <c r="O68" i="1" s="1"/>
  <c r="R63" i="1" l="1"/>
  <c r="Q63" i="1"/>
  <c r="Q64" i="1" s="1"/>
  <c r="Q65" i="1" s="1"/>
  <c r="Q66" i="1" s="1"/>
  <c r="Q67" i="1" s="1"/>
  <c r="Q68" i="1" s="1"/>
  <c r="Q69" i="1" s="1"/>
  <c r="Q70" i="1" s="1"/>
  <c r="Q71" i="1" s="1"/>
  <c r="Q72" i="1" s="1"/>
  <c r="H26" i="16"/>
  <c r="H25" i="16"/>
  <c r="G26" i="16"/>
  <c r="G2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Manuel Vargas</author>
  </authors>
  <commentList>
    <comment ref="B7" authorId="0" shapeId="0" xr:uid="{FB1B8DD6-B7F0-4A19-B5A4-C84A40AA141F}">
      <text>
        <r>
          <rPr>
            <sz val="8"/>
            <color indexed="81"/>
            <rFont val="Tahoma"/>
            <family val="2"/>
          </rPr>
          <t xml:space="preserve">Enter the role of the person observed here
</t>
        </r>
      </text>
    </comment>
    <comment ref="B15" authorId="0" shapeId="0" xr:uid="{0C2D5DC4-5CCF-4335-A668-31F64728644E}">
      <text>
        <r>
          <rPr>
            <sz val="8"/>
            <color indexed="81"/>
            <rFont val="Tahoma"/>
            <family val="2"/>
          </rPr>
          <t xml:space="preserve">Write all activities observed in a concise and clear way; when there is a lot of micro activities that are all in the same category you may write only when there is a category change and summarise the 'micro' activities
</t>
        </r>
      </text>
    </comment>
    <comment ref="C15" authorId="0" shapeId="0" xr:uid="{E85AAED3-C2EA-472E-8A7D-727C00B9AA41}">
      <text>
        <r>
          <rPr>
            <sz val="8"/>
            <color indexed="81"/>
            <rFont val="Tahoma"/>
            <family val="2"/>
          </rPr>
          <t xml:space="preserve">enter only the start of the activity; at the end of the observation fill the end time
</t>
        </r>
      </text>
    </comment>
    <comment ref="D15" authorId="0" shapeId="0" xr:uid="{23B47FB9-3C37-4A2E-AD31-2C5067586A07}">
      <text>
        <r>
          <rPr>
            <sz val="8"/>
            <color indexed="81"/>
            <rFont val="Tahoma"/>
            <family val="2"/>
          </rPr>
          <t>Add any comment necessary to understand the activity or the issues encountered. You may write questions to ask later to the person observed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Fontaine</author>
  </authors>
  <commentList>
    <comment ref="B3" authorId="0" shapeId="0" xr:uid="{00000000-0006-0000-0100-000001000000}">
      <text>
        <r>
          <rPr>
            <b/>
            <sz val="9"/>
            <color indexed="81"/>
            <rFont val="Tahoma"/>
            <family val="2"/>
          </rPr>
          <t xml:space="preserve">Name used in the reports - charts
</t>
        </r>
        <r>
          <rPr>
            <sz val="9"/>
            <color indexed="81"/>
            <rFont val="Tahoma"/>
            <family val="2"/>
          </rPr>
          <t xml:space="preserve">
</t>
        </r>
      </text>
    </comment>
    <comment ref="I3" authorId="0" shapeId="0" xr:uid="{33A4EE51-9D2D-4144-9799-09313A909F1D}">
      <text>
        <r>
          <rPr>
            <b/>
            <sz val="9"/>
            <color indexed="81"/>
            <rFont val="Tahoma"/>
            <family val="2"/>
          </rPr>
          <t xml:space="preserve">Name used in the chart to display to the person observed - less conflictual
</t>
        </r>
        <r>
          <rPr>
            <sz val="9"/>
            <color indexed="81"/>
            <rFont val="Tahoma"/>
            <family val="2"/>
          </rPr>
          <t xml:space="preserve">
</t>
        </r>
      </text>
    </comment>
    <comment ref="B4" authorId="0" shapeId="0" xr:uid="{00000000-0006-0000-0100-000003000000}">
      <text>
        <r>
          <rPr>
            <b/>
            <sz val="9"/>
            <color indexed="81"/>
            <rFont val="Tahoma"/>
            <family val="2"/>
          </rPr>
          <t>Name used in the reports - charts</t>
        </r>
        <r>
          <rPr>
            <sz val="9"/>
            <color indexed="81"/>
            <rFont val="Tahoma"/>
            <family val="2"/>
          </rPr>
          <t xml:space="preserve">
</t>
        </r>
      </text>
    </comment>
    <comment ref="I4" authorId="0" shapeId="0" xr:uid="{8FB91E4F-53CE-4965-854D-3501F5ED9A61}">
      <text>
        <r>
          <rPr>
            <b/>
            <sz val="9"/>
            <color indexed="81"/>
            <rFont val="Tahoma"/>
            <family val="2"/>
          </rPr>
          <t>Name used in the chart to display to the person observed - less conflictual</t>
        </r>
        <r>
          <rPr>
            <sz val="9"/>
            <color indexed="81"/>
            <rFont val="Tahoma"/>
            <family val="2"/>
          </rPr>
          <t xml:space="preserve">
</t>
        </r>
      </text>
    </comment>
  </commentList>
</comments>
</file>

<file path=xl/sharedStrings.xml><?xml version="1.0" encoding="utf-8"?>
<sst xmlns="http://schemas.openxmlformats.org/spreadsheetml/2006/main" count="213" uniqueCount="186">
  <si>
    <t>N</t>
  </si>
  <si>
    <t>Categ.</t>
  </si>
  <si>
    <t>(Date)</t>
  </si>
  <si>
    <t>Code</t>
  </si>
  <si>
    <t>Cause</t>
  </si>
  <si>
    <t>Temps total</t>
  </si>
  <si>
    <t>NVA</t>
  </si>
  <si>
    <t>Description</t>
  </si>
  <si>
    <t>VA</t>
  </si>
  <si>
    <t>V</t>
  </si>
  <si>
    <t>ENTER ONLY YELLOW CELLS</t>
  </si>
  <si>
    <t>ENTER DATE HERE</t>
  </si>
  <si>
    <t>Description of the</t>
  </si>
  <si>
    <t>Activities</t>
  </si>
  <si>
    <t>Time</t>
  </si>
  <si>
    <t>Comments</t>
  </si>
  <si>
    <t>Start</t>
  </si>
  <si>
    <t>time</t>
  </si>
  <si>
    <t>Duration</t>
  </si>
  <si>
    <t>Description of</t>
  </si>
  <si>
    <t>categories</t>
  </si>
  <si>
    <t>% of</t>
  </si>
  <si>
    <t>Total time=&gt;</t>
  </si>
  <si>
    <t>Travel</t>
  </si>
  <si>
    <t>Available</t>
  </si>
  <si>
    <t>Rework</t>
  </si>
  <si>
    <t>FILL IN ONLY YELLOW CELLS</t>
  </si>
  <si>
    <t>Non active meetings</t>
  </si>
  <si>
    <t>Consultant Name</t>
  </si>
  <si>
    <t>Normal timing of shift observed (start time and end time)</t>
  </si>
  <si>
    <t>Timing of observation if different that normal shift (start time and end time)</t>
  </si>
  <si>
    <t>1 What are your responsibilities?</t>
  </si>
  <si>
    <t>2. What do you do during the day?</t>
  </si>
  <si>
    <t>3. Who do you report to?</t>
  </si>
  <si>
    <t>4. What is the planning of today?</t>
  </si>
  <si>
    <t>Extended break</t>
  </si>
  <si>
    <t>Min</t>
  </si>
  <si>
    <t>Max</t>
  </si>
  <si>
    <t>Total Time</t>
  </si>
  <si>
    <t>Direct Value Added</t>
  </si>
  <si>
    <t>Non Direct Value Added</t>
  </si>
  <si>
    <t>TOTAL</t>
  </si>
  <si>
    <t>Administrative tasks/keing reporting data</t>
  </si>
  <si>
    <t>Waiting</t>
  </si>
  <si>
    <t>Training</t>
  </si>
  <si>
    <t>Excessive Calling/alerting</t>
  </si>
  <si>
    <t>Operating tasks</t>
  </si>
  <si>
    <t>Preparation and security</t>
  </si>
  <si>
    <t>Auto maintenance/1st level diagnosis</t>
  </si>
  <si>
    <t>Cleaning</t>
  </si>
  <si>
    <t>Equipment control</t>
  </si>
  <si>
    <t>Equipment test and tune up</t>
  </si>
  <si>
    <t>Quality test</t>
  </si>
  <si>
    <t>Calling/alerting for issues</t>
  </si>
  <si>
    <t>Active meetings/workshops</t>
  </si>
  <si>
    <t>Rank</t>
  </si>
  <si>
    <t>Copy activity</t>
  </si>
  <si>
    <t>CALCULATIONS FOR CHARTS</t>
  </si>
  <si>
    <t>Unsorted data</t>
  </si>
  <si>
    <t>Sorted data</t>
  </si>
  <si>
    <t>Check sum - must be green</t>
  </si>
  <si>
    <t>Waterfall chart data - VA &amp; NVA</t>
  </si>
  <si>
    <t>Short name for Value-Added (report)</t>
  </si>
  <si>
    <t>Short name for Non Value-Added (report)</t>
  </si>
  <si>
    <t>Short name for Non Value-Added (public)</t>
  </si>
  <si>
    <t>Direct</t>
  </si>
  <si>
    <t>Indirect</t>
  </si>
  <si>
    <t>Activity 1</t>
  </si>
  <si>
    <t>Activity 2</t>
  </si>
  <si>
    <t>Activity 3</t>
  </si>
  <si>
    <t>Activity 4</t>
  </si>
  <si>
    <t>Activity 5</t>
  </si>
  <si>
    <t>Activity 6</t>
  </si>
  <si>
    <t>Activity 7</t>
  </si>
  <si>
    <t>Activity 8</t>
  </si>
  <si>
    <t>Activity 9</t>
  </si>
  <si>
    <t>Activity 10</t>
  </si>
  <si>
    <t>Activity 11</t>
  </si>
  <si>
    <t>Activity 12</t>
  </si>
  <si>
    <t>Activity 13</t>
  </si>
  <si>
    <t>Activity 14</t>
  </si>
  <si>
    <t>Activity 15</t>
  </si>
  <si>
    <t>Activity 16</t>
  </si>
  <si>
    <t>Activity 17</t>
  </si>
  <si>
    <t>Activity 18</t>
  </si>
  <si>
    <t>Activity 19</t>
  </si>
  <si>
    <t>Activity 20</t>
  </si>
  <si>
    <t>Activity 21</t>
  </si>
  <si>
    <t>Activity 22</t>
  </si>
  <si>
    <t>Activity 23</t>
  </si>
  <si>
    <t>Activity 24</t>
  </si>
  <si>
    <t>Activity 25</t>
  </si>
  <si>
    <t>Activity 26</t>
  </si>
  <si>
    <t>Activity 27</t>
  </si>
  <si>
    <t>Activity 28</t>
  </si>
  <si>
    <t>Activity 29</t>
  </si>
  <si>
    <t>Activity 30</t>
  </si>
  <si>
    <t>Activity 31</t>
  </si>
  <si>
    <t>Activity 32</t>
  </si>
  <si>
    <t>Activity 33</t>
  </si>
  <si>
    <t>Activity 34</t>
  </si>
  <si>
    <t>Activity 35</t>
  </si>
  <si>
    <t>Activity 36</t>
  </si>
  <si>
    <t>Activity 37</t>
  </si>
  <si>
    <t>Activity 38</t>
  </si>
  <si>
    <t>Activity 39</t>
  </si>
  <si>
    <t>Activity 40</t>
  </si>
  <si>
    <t>Activity 41</t>
  </si>
  <si>
    <t>Activity 42</t>
  </si>
  <si>
    <t>Activity 43</t>
  </si>
  <si>
    <t>Activity 44</t>
  </si>
  <si>
    <t>Activity 45</t>
  </si>
  <si>
    <t>Activity 46</t>
  </si>
  <si>
    <t>Activity 47</t>
  </si>
  <si>
    <t>Activity 48</t>
  </si>
  <si>
    <t>Activity 49</t>
  </si>
  <si>
    <t>Activity 50</t>
  </si>
  <si>
    <t>Activity 51</t>
  </si>
  <si>
    <t>Activity 52</t>
  </si>
  <si>
    <t>Activity 53</t>
  </si>
  <si>
    <t>Activity 54</t>
  </si>
  <si>
    <t>Activity 55</t>
  </si>
  <si>
    <t>Activity 56</t>
  </si>
  <si>
    <t>Activity 57</t>
  </si>
  <si>
    <t>Activity 58</t>
  </si>
  <si>
    <t>Activity 59</t>
  </si>
  <si>
    <t>Activity 60</t>
  </si>
  <si>
    <t>Activity 61</t>
  </si>
  <si>
    <t>Activity 62</t>
  </si>
  <si>
    <t>Activity 63</t>
  </si>
  <si>
    <t>Activity 64</t>
  </si>
  <si>
    <t>Activity 65</t>
  </si>
  <si>
    <t>Activity 66</t>
  </si>
  <si>
    <t>Activity 67</t>
  </si>
  <si>
    <t>Activity 68</t>
  </si>
  <si>
    <t>Activity 69</t>
  </si>
  <si>
    <t>Improvement</t>
  </si>
  <si>
    <t>Saved time</t>
  </si>
  <si>
    <t>Relative reduction</t>
  </si>
  <si>
    <t>Remaining time</t>
  </si>
  <si>
    <t>Average</t>
  </si>
  <si>
    <t>Initial</t>
  </si>
  <si>
    <t>Fill yellow cells</t>
  </si>
  <si>
    <t>NVA reduction chart title</t>
  </si>
  <si>
    <t>Non Value Added reduction breakdown</t>
  </si>
  <si>
    <t>CHARTS</t>
  </si>
  <si>
    <t>Data for graph</t>
  </si>
  <si>
    <t>TOTAL (%)</t>
  </si>
  <si>
    <t>Average (%)</t>
  </si>
  <si>
    <t>NVA/VA impact chart title</t>
  </si>
  <si>
    <t>Improvement in Hours</t>
  </si>
  <si>
    <t>Improvement in %</t>
  </si>
  <si>
    <t>Increased Added Value (Hours)</t>
  </si>
  <si>
    <t>Increased Added Value (%)</t>
  </si>
  <si>
    <t>Before the DILO</t>
  </si>
  <si>
    <t>During the DILO</t>
  </si>
  <si>
    <t>After the DILO</t>
  </si>
  <si>
    <t>Initial report build</t>
  </si>
  <si>
    <t>Replicate in your notebook, the columns Activities, Time and Comments of the sheet "Timesheet"
It is not recommended to print and use the "Timesheet" since the rows height may not fit your notes</t>
  </si>
  <si>
    <t>Check with Person Observed</t>
  </si>
  <si>
    <t>Build final report</t>
  </si>
  <si>
    <t>Use the appropriate charts to incorporate into your report</t>
  </si>
  <si>
    <t>Additional analysis - Improvement</t>
  </si>
  <si>
    <t>Use the "Improvement" worksheet to calculate potential improvements and display charts</t>
  </si>
  <si>
    <t>It is a good practice to come back to the person observed and show her/him part of the report
You may show her/him the "Timesheet" and the "Chart Public"; make sure there is nothing conflictuous. No other worksheet should be shown.
Ask her/him if he what you wrote is correct and to clarify the activities that are unclear to you;
That is also an opportunity to ask her/him what she/he would like to be improved in her/his job</t>
  </si>
  <si>
    <t>Wevalgo template</t>
  </si>
  <si>
    <t>wevalgo</t>
  </si>
  <si>
    <t>Chart title</t>
  </si>
  <si>
    <t>Type of DILO</t>
  </si>
  <si>
    <t>Operational</t>
  </si>
  <si>
    <t xml:space="preserve">Scope of the template : </t>
  </si>
  <si>
    <t>Production operator</t>
  </si>
  <si>
    <t xml:space="preserve">This template is specifically designed for a production operator
It can be used in most production environment and industries except for:
- roles mixing supervisory and operational activities
- roles with a lot of "passive supervision" such as a control room operator; a specific template is designed for this role
</t>
  </si>
  <si>
    <t>Instructions</t>
  </si>
  <si>
    <t>Check that you understand well the different NVA and VA activities in the sheet "Categories Calcul"
They may be modified in agreement with you management (yellow cells); 
Given your current knowledge of the job you will observe, try to anticipate what type of activities and issues could fall in each category</t>
  </si>
  <si>
    <t>Waterfall</t>
  </si>
  <si>
    <t>Base</t>
  </si>
  <si>
    <t>End of observation</t>
  </si>
  <si>
    <t>Questions to ask to the observed people (begining or when in 'idle' mode)</t>
  </si>
  <si>
    <t>ENTER ROLE HERE</t>
  </si>
  <si>
    <t>(Role of observed person)</t>
  </si>
  <si>
    <t>Worksheet "Timesheet"
Using your notes, fill the "Timesheet" yellow fields.
Worksheet "Categories - Calcul"
Fill the column F ; if you need to change the name of the Value added and Non Value added activities, fill the appropriate yellow cells in the same worksheet
Leave the column F empty for normal breaks, coffee breaks; but fill 'Extended break' if excessive ones
Make a specific note of the activities that are unclear to comeback to the person observed and ask for clarification
Check that the calculation results are correct
"Chart - Public" 
Look at the chart and verify it is correct and that the Value added and Non Value added activitie NAMES are not conflictuous because you may show it to the person observed</t>
  </si>
  <si>
    <t>Additional VA vs initial</t>
  </si>
  <si>
    <t>Hours</t>
  </si>
  <si>
    <t>Short name for Value-Added (public)</t>
  </si>
  <si>
    <t>This template may be used to be used under free license by anyone. If you like it, there are several ways you could thank us: write a "Powered by Wevalgo" in your reports, make good publicity of Wevalgo, or link your website (if you have one) to Wevalgo home page (www.wevalgo.com).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</si>
</sst>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
  </numFmts>
  <fonts count="22" x14ac:knownFonts="1">
    <font>
      <sz val="10"/>
      <name val="Arial"/>
    </font>
    <font>
      <sz val="10"/>
      <name val="Arial"/>
      <family val="2"/>
    </font>
    <font>
      <b/>
      <sz val="12"/>
      <name val="Times New Roman"/>
      <family val="1"/>
    </font>
    <font>
      <b/>
      <sz val="10"/>
      <name val="Times New Roman"/>
      <family val="1"/>
    </font>
    <font>
      <b/>
      <sz val="10"/>
      <name val="Times New Roman"/>
      <family val="1"/>
    </font>
    <font>
      <sz val="10"/>
      <name val="Times New Roman"/>
      <family val="1"/>
    </font>
    <font>
      <b/>
      <sz val="12"/>
      <name val="Times New Roman"/>
      <family val="1"/>
    </font>
    <font>
      <b/>
      <sz val="10"/>
      <name val="Arial"/>
      <family val="2"/>
    </font>
    <font>
      <b/>
      <sz val="10"/>
      <color indexed="10"/>
      <name val="Arial"/>
      <family val="2"/>
    </font>
    <font>
      <sz val="10"/>
      <name val="Arial"/>
      <family val="2"/>
    </font>
    <font>
      <b/>
      <sz val="9"/>
      <name val="Times New Roman"/>
      <family val="1"/>
    </font>
    <font>
      <i/>
      <sz val="10"/>
      <name val="Times New Roman"/>
      <family val="1"/>
    </font>
    <font>
      <sz val="8"/>
      <color indexed="81"/>
      <name val="Tahoma"/>
      <family val="2"/>
    </font>
    <font>
      <b/>
      <sz val="12"/>
      <color indexed="10"/>
      <name val="Times New Roman"/>
      <family val="1"/>
    </font>
    <font>
      <sz val="8"/>
      <name val="Arial"/>
      <family val="2"/>
    </font>
    <font>
      <sz val="14"/>
      <name val="Arial"/>
      <family val="2"/>
    </font>
    <font>
      <sz val="9"/>
      <color indexed="81"/>
      <name val="Tahoma"/>
      <family val="2"/>
    </font>
    <font>
      <b/>
      <sz val="9"/>
      <color indexed="81"/>
      <name val="Tahoma"/>
      <family val="2"/>
    </font>
    <font>
      <sz val="14"/>
      <name val="Arial"/>
      <family val="2"/>
    </font>
    <font>
      <b/>
      <sz val="14"/>
      <name val="Arial"/>
      <family val="2"/>
    </font>
    <font>
      <sz val="10"/>
      <color theme="0"/>
      <name val="Arial"/>
      <family val="2"/>
    </font>
    <font>
      <b/>
      <sz val="18"/>
      <name val="Arial"/>
      <family val="2"/>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4" tint="0.39997558519241921"/>
        <bgColor indexed="64"/>
      </patternFill>
    </fill>
  </fills>
  <borders count="6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17">
    <xf numFmtId="0" fontId="0" fillId="0" borderId="0" xfId="0"/>
    <xf numFmtId="0" fontId="0" fillId="2" borderId="1" xfId="0" applyFill="1" applyBorder="1"/>
    <xf numFmtId="0" fontId="2" fillId="2" borderId="2" xfId="0" applyFont="1" applyFill="1" applyBorder="1" applyAlignment="1">
      <alignment horizontal="left"/>
    </xf>
    <xf numFmtId="0" fontId="3" fillId="2" borderId="3" xfId="0" quotePrefix="1" applyFont="1"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15" fontId="0" fillId="2" borderId="6" xfId="0" applyNumberFormat="1" applyFill="1" applyBorder="1" applyAlignment="1">
      <alignment horizontal="left"/>
    </xf>
    <xf numFmtId="0" fontId="4" fillId="2" borderId="0" xfId="0" quotePrefix="1" applyFont="1" applyFill="1"/>
    <xf numFmtId="0" fontId="0" fillId="2" borderId="7" xfId="0" applyFill="1" applyBorder="1"/>
    <xf numFmtId="165" fontId="0" fillId="2" borderId="6" xfId="0" applyNumberFormat="1" applyFill="1" applyBorder="1" applyAlignment="1">
      <alignment horizontal="center"/>
    </xf>
    <xf numFmtId="0" fontId="0" fillId="2" borderId="8" xfId="0" applyFill="1" applyBorder="1"/>
    <xf numFmtId="0" fontId="3" fillId="2" borderId="9" xfId="0" applyFont="1" applyFill="1" applyBorder="1"/>
    <xf numFmtId="0" fontId="11" fillId="2" borderId="9" xfId="0" applyFont="1" applyFill="1" applyBorder="1"/>
    <xf numFmtId="0" fontId="0" fillId="2" borderId="9" xfId="0" applyFill="1" applyBorder="1"/>
    <xf numFmtId="0" fontId="0" fillId="2" borderId="10" xfId="0" applyFill="1" applyBorder="1"/>
    <xf numFmtId="0" fontId="4" fillId="2" borderId="0" xfId="0" applyFont="1" applyFill="1" applyAlignment="1">
      <alignment horizontal="left"/>
    </xf>
    <xf numFmtId="0" fontId="5" fillId="2" borderId="5" xfId="0" applyFont="1" applyFill="1" applyBorder="1"/>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0" xfId="0" applyFont="1" applyFill="1" applyAlignment="1">
      <alignment horizontal="center"/>
    </xf>
    <xf numFmtId="0" fontId="2" fillId="2" borderId="13"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10" fillId="2" borderId="6" xfId="0" applyFont="1" applyFill="1" applyBorder="1" applyAlignment="1">
      <alignment horizontal="center"/>
    </xf>
    <xf numFmtId="0" fontId="10" fillId="2" borderId="0" xfId="0" applyFont="1" applyFill="1" applyAlignment="1">
      <alignment horizontal="center"/>
    </xf>
    <xf numFmtId="0" fontId="2" fillId="2" borderId="18" xfId="0" applyFont="1" applyFill="1" applyBorder="1" applyAlignment="1">
      <alignment horizontal="center"/>
    </xf>
    <xf numFmtId="0" fontId="6" fillId="2" borderId="19" xfId="0" applyFont="1" applyFill="1" applyBorder="1" applyAlignment="1">
      <alignment horizontal="center"/>
    </xf>
    <xf numFmtId="0" fontId="6" fillId="2" borderId="20" xfId="0" applyFont="1" applyFill="1" applyBorder="1" applyAlignment="1">
      <alignment horizontal="center"/>
    </xf>
    <xf numFmtId="0" fontId="6" fillId="2" borderId="21" xfId="0" applyFont="1" applyFill="1" applyBorder="1" applyAlignment="1">
      <alignment horizontal="center"/>
    </xf>
    <xf numFmtId="0" fontId="0" fillId="2" borderId="22" xfId="0" applyFill="1" applyBorder="1"/>
    <xf numFmtId="0" fontId="0" fillId="2" borderId="6" xfId="0" applyFill="1" applyBorder="1"/>
    <xf numFmtId="21" fontId="0" fillId="2" borderId="6" xfId="0" applyNumberFormat="1" applyFill="1" applyBorder="1"/>
    <xf numFmtId="21" fontId="0" fillId="2" borderId="23" xfId="0" applyNumberFormat="1" applyFill="1" applyBorder="1"/>
    <xf numFmtId="20" fontId="0" fillId="2" borderId="0" xfId="0" applyNumberFormat="1" applyFill="1" applyAlignment="1">
      <alignment horizontal="center"/>
    </xf>
    <xf numFmtId="0" fontId="0" fillId="2" borderId="24" xfId="0" applyFill="1" applyBorder="1" applyAlignment="1">
      <alignment horizontal="center"/>
    </xf>
    <xf numFmtId="20" fontId="0" fillId="2" borderId="12" xfId="0" applyNumberFormat="1" applyFill="1" applyBorder="1" applyAlignment="1">
      <alignment horizontal="center"/>
    </xf>
    <xf numFmtId="164" fontId="0" fillId="2" borderId="25" xfId="0" applyNumberFormat="1" applyFill="1" applyBorder="1"/>
    <xf numFmtId="0" fontId="0" fillId="2" borderId="26" xfId="0" applyFill="1" applyBorder="1" applyAlignment="1">
      <alignment horizontal="center"/>
    </xf>
    <xf numFmtId="0" fontId="0" fillId="2" borderId="27" xfId="0" applyFill="1" applyBorder="1"/>
    <xf numFmtId="20" fontId="0" fillId="2" borderId="28" xfId="0" applyNumberFormat="1" applyFill="1" applyBorder="1" applyAlignment="1">
      <alignment horizontal="center"/>
    </xf>
    <xf numFmtId="164" fontId="0" fillId="2" borderId="29" xfId="0" applyNumberFormat="1" applyFill="1" applyBorder="1"/>
    <xf numFmtId="164" fontId="0" fillId="2" borderId="6" xfId="0" applyNumberFormat="1" applyFill="1" applyBorder="1"/>
    <xf numFmtId="0" fontId="3" fillId="2" borderId="0" xfId="0" applyFont="1" applyFill="1" applyAlignment="1">
      <alignment horizontal="right"/>
    </xf>
    <xf numFmtId="20" fontId="3" fillId="2" borderId="0" xfId="0" applyNumberFormat="1" applyFont="1" applyFill="1" applyAlignment="1">
      <alignment horizontal="center"/>
    </xf>
    <xf numFmtId="0" fontId="0" fillId="2" borderId="30" xfId="0" applyFill="1" applyBorder="1" applyAlignment="1">
      <alignment horizontal="center"/>
    </xf>
    <xf numFmtId="20" fontId="0" fillId="2" borderId="31" xfId="0" applyNumberFormat="1" applyFill="1" applyBorder="1" applyAlignment="1">
      <alignment horizontal="center"/>
    </xf>
    <xf numFmtId="164" fontId="0" fillId="2" borderId="32" xfId="0" applyNumberFormat="1" applyFill="1" applyBorder="1"/>
    <xf numFmtId="46" fontId="0" fillId="2" borderId="0" xfId="0" applyNumberFormat="1" applyFill="1"/>
    <xf numFmtId="0" fontId="0" fillId="2" borderId="22" xfId="0" applyFill="1" applyBorder="1" applyAlignment="1">
      <alignment horizontal="center"/>
    </xf>
    <xf numFmtId="20" fontId="0" fillId="2" borderId="33" xfId="0" applyNumberFormat="1" applyFill="1" applyBorder="1" applyAlignment="1">
      <alignment horizontal="center"/>
    </xf>
    <xf numFmtId="164" fontId="0" fillId="2" borderId="34" xfId="0" applyNumberFormat="1" applyFill="1" applyBorder="1"/>
    <xf numFmtId="0" fontId="9" fillId="2" borderId="22" xfId="0" quotePrefix="1" applyFont="1" applyFill="1" applyBorder="1" applyAlignment="1">
      <alignment horizontal="center"/>
    </xf>
    <xf numFmtId="20" fontId="7" fillId="2" borderId="0" xfId="0" applyNumberFormat="1" applyFont="1" applyFill="1" applyAlignment="1">
      <alignment horizontal="center"/>
    </xf>
    <xf numFmtId="20" fontId="0" fillId="2" borderId="35" xfId="0" applyNumberFormat="1" applyFill="1" applyBorder="1" applyAlignment="1">
      <alignment horizontal="center"/>
    </xf>
    <xf numFmtId="0" fontId="0" fillId="2" borderId="26" xfId="0" applyFill="1" applyBorder="1"/>
    <xf numFmtId="20" fontId="0" fillId="2" borderId="28" xfId="0" applyNumberFormat="1" applyFill="1" applyBorder="1"/>
    <xf numFmtId="0" fontId="0" fillId="3" borderId="17" xfId="0" applyFill="1" applyBorder="1" applyAlignment="1">
      <alignment horizontal="center"/>
    </xf>
    <xf numFmtId="0" fontId="0" fillId="3" borderId="6" xfId="0" applyFill="1" applyBorder="1" applyAlignment="1">
      <alignment horizontal="center"/>
    </xf>
    <xf numFmtId="0" fontId="0" fillId="0" borderId="1" xfId="0" applyBorder="1"/>
    <xf numFmtId="0" fontId="3" fillId="0" borderId="3" xfId="0" quotePrefix="1" applyFont="1" applyBorder="1"/>
    <xf numFmtId="0" fontId="0" fillId="0" borderId="4" xfId="0" applyBorder="1"/>
    <xf numFmtId="0" fontId="0" fillId="0" borderId="5" xfId="0" applyBorder="1"/>
    <xf numFmtId="0" fontId="0" fillId="0" borderId="7" xfId="0" applyBorder="1"/>
    <xf numFmtId="0" fontId="0" fillId="0" borderId="8" xfId="0" applyBorder="1"/>
    <xf numFmtId="0" fontId="3" fillId="0" borderId="9" xfId="0" applyFont="1" applyBorder="1"/>
    <xf numFmtId="0" fontId="4" fillId="0" borderId="9" xfId="0" applyFont="1" applyBorder="1"/>
    <xf numFmtId="0" fontId="5" fillId="0" borderId="1" xfId="0" applyFont="1" applyBorder="1"/>
    <xf numFmtId="0" fontId="5" fillId="0" borderId="5" xfId="0" applyFont="1" applyBorder="1"/>
    <xf numFmtId="0" fontId="6" fillId="0" borderId="17" xfId="0" applyFont="1" applyBorder="1" applyAlignment="1">
      <alignment horizontal="center"/>
    </xf>
    <xf numFmtId="0" fontId="6" fillId="0" borderId="36" xfId="0" applyFont="1" applyBorder="1" applyAlignment="1">
      <alignment horizontal="center"/>
    </xf>
    <xf numFmtId="0" fontId="13" fillId="3" borderId="2" xfId="0" applyFont="1" applyFill="1" applyBorder="1" applyAlignment="1">
      <alignment horizontal="left"/>
    </xf>
    <xf numFmtId="15" fontId="8" fillId="3" borderId="6" xfId="0" applyNumberFormat="1" applyFont="1" applyFill="1" applyBorder="1" applyAlignment="1">
      <alignment horizontal="left"/>
    </xf>
    <xf numFmtId="0" fontId="1" fillId="3" borderId="22" xfId="0" applyFont="1" applyFill="1" applyBorder="1"/>
    <xf numFmtId="0" fontId="1" fillId="3" borderId="6" xfId="0" applyFont="1" applyFill="1" applyBorder="1"/>
    <xf numFmtId="21" fontId="1" fillId="3" borderId="6" xfId="0" applyNumberFormat="1" applyFont="1" applyFill="1" applyBorder="1"/>
    <xf numFmtId="21" fontId="1" fillId="3" borderId="37" xfId="0" applyNumberFormat="1" applyFont="1" applyFill="1" applyBorder="1"/>
    <xf numFmtId="0" fontId="1" fillId="3" borderId="26" xfId="0" applyFont="1" applyFill="1" applyBorder="1"/>
    <xf numFmtId="0" fontId="1" fillId="3" borderId="27" xfId="0" applyFont="1" applyFill="1" applyBorder="1"/>
    <xf numFmtId="21" fontId="1" fillId="3" borderId="27" xfId="0" applyNumberFormat="1" applyFont="1" applyFill="1" applyBorder="1"/>
    <xf numFmtId="21" fontId="1" fillId="3" borderId="38" xfId="0" applyNumberFormat="1" applyFont="1" applyFill="1" applyBorder="1"/>
    <xf numFmtId="0" fontId="0" fillId="0" borderId="17" xfId="0" applyBorder="1" applyAlignment="1">
      <alignment horizontal="center"/>
    </xf>
    <xf numFmtId="0" fontId="0" fillId="3" borderId="40" xfId="0" applyFill="1" applyBorder="1"/>
    <xf numFmtId="0" fontId="0" fillId="3" borderId="23" xfId="0" applyFill="1" applyBorder="1"/>
    <xf numFmtId="0" fontId="0" fillId="4" borderId="6" xfId="0" applyFill="1" applyBorder="1"/>
    <xf numFmtId="0" fontId="7" fillId="2" borderId="0" xfId="0" applyFont="1" applyFill="1" applyAlignment="1">
      <alignment horizontal="center" vertical="center"/>
    </xf>
    <xf numFmtId="164" fontId="0" fillId="2" borderId="0" xfId="0" applyNumberFormat="1" applyFill="1"/>
    <xf numFmtId="0" fontId="0" fillId="0" borderId="41" xfId="0" applyBorder="1"/>
    <xf numFmtId="15" fontId="9" fillId="2" borderId="6" xfId="0" applyNumberFormat="1" applyFont="1" applyFill="1" applyBorder="1" applyAlignment="1">
      <alignment horizontal="left"/>
    </xf>
    <xf numFmtId="20" fontId="0" fillId="0" borderId="0" xfId="0" applyNumberFormat="1"/>
    <xf numFmtId="20" fontId="0" fillId="0" borderId="37" xfId="0" applyNumberFormat="1" applyBorder="1"/>
    <xf numFmtId="20" fontId="0" fillId="0" borderId="38" xfId="0" applyNumberFormat="1" applyBorder="1"/>
    <xf numFmtId="20" fontId="7" fillId="0" borderId="0" xfId="0" applyNumberFormat="1" applyFont="1"/>
    <xf numFmtId="9" fontId="0" fillId="0" borderId="0" xfId="1" applyFont="1"/>
    <xf numFmtId="20" fontId="0" fillId="0" borderId="6" xfId="0" applyNumberFormat="1" applyBorder="1"/>
    <xf numFmtId="20" fontId="0" fillId="0" borderId="27" xfId="0" applyNumberFormat="1" applyBorder="1"/>
    <xf numFmtId="9" fontId="0" fillId="3" borderId="6" xfId="0" applyNumberFormat="1" applyFill="1" applyBorder="1"/>
    <xf numFmtId="9" fontId="0" fillId="3" borderId="27" xfId="0" applyNumberFormat="1" applyFill="1" applyBorder="1"/>
    <xf numFmtId="9" fontId="0" fillId="2" borderId="0" xfId="0" applyNumberFormat="1" applyFill="1"/>
    <xf numFmtId="9" fontId="0" fillId="2" borderId="0" xfId="1" applyFont="1" applyFill="1"/>
    <xf numFmtId="0" fontId="7" fillId="2" borderId="0" xfId="0" applyFont="1" applyFill="1"/>
    <xf numFmtId="0" fontId="0" fillId="6" borderId="6" xfId="0" applyFill="1" applyBorder="1" applyAlignment="1">
      <alignment horizontal="center" vertical="center"/>
    </xf>
    <xf numFmtId="0" fontId="0" fillId="6" borderId="6" xfId="0" applyFill="1" applyBorder="1" applyAlignment="1">
      <alignment horizontal="center"/>
    </xf>
    <xf numFmtId="0" fontId="0" fillId="6" borderId="0" xfId="0" applyFill="1"/>
    <xf numFmtId="20" fontId="0" fillId="2" borderId="0" xfId="0" applyNumberFormat="1" applyFill="1"/>
    <xf numFmtId="0" fontId="9" fillId="6" borderId="6" xfId="0" applyFont="1" applyFill="1" applyBorder="1" applyAlignment="1">
      <alignment horizontal="center" vertical="center"/>
    </xf>
    <xf numFmtId="0" fontId="9" fillId="2" borderId="6" xfId="0" applyFont="1" applyFill="1" applyBorder="1"/>
    <xf numFmtId="0" fontId="9" fillId="3" borderId="6" xfId="0" applyFont="1" applyFill="1" applyBorder="1"/>
    <xf numFmtId="0" fontId="9" fillId="2" borderId="26" xfId="0" quotePrefix="1" applyFont="1" applyFill="1" applyBorder="1" applyAlignment="1">
      <alignment horizontal="center"/>
    </xf>
    <xf numFmtId="0" fontId="9" fillId="7" borderId="28" xfId="0" applyFont="1" applyFill="1" applyBorder="1"/>
    <xf numFmtId="0" fontId="9" fillId="3" borderId="28" xfId="0" applyFont="1" applyFill="1" applyBorder="1"/>
    <xf numFmtId="0" fontId="6" fillId="2" borderId="49" xfId="0" applyFont="1" applyFill="1" applyBorder="1" applyAlignment="1">
      <alignment horizontal="center"/>
    </xf>
    <xf numFmtId="0" fontId="6" fillId="2" borderId="50" xfId="0" applyFont="1" applyFill="1" applyBorder="1" applyAlignment="1">
      <alignment horizontal="center"/>
    </xf>
    <xf numFmtId="0" fontId="6" fillId="2" borderId="51" xfId="0" applyFont="1" applyFill="1" applyBorder="1" applyAlignment="1">
      <alignment horizontal="center"/>
    </xf>
    <xf numFmtId="0" fontId="7" fillId="0" borderId="39" xfId="0" applyFont="1" applyBorder="1" applyAlignment="1">
      <alignment horizontal="center"/>
    </xf>
    <xf numFmtId="0" fontId="7" fillId="0" borderId="52" xfId="0" applyFont="1" applyBorder="1" applyAlignment="1">
      <alignment horizontal="center"/>
    </xf>
    <xf numFmtId="0" fontId="7" fillId="0" borderId="53" xfId="0" applyFont="1" applyBorder="1" applyAlignment="1">
      <alignment horizontal="center"/>
    </xf>
    <xf numFmtId="0" fontId="0" fillId="2" borderId="2" xfId="0" applyFill="1" applyBorder="1"/>
    <xf numFmtId="20" fontId="0" fillId="2" borderId="2" xfId="0" applyNumberFormat="1" applyFill="1" applyBorder="1" applyAlignment="1">
      <alignment horizontal="center"/>
    </xf>
    <xf numFmtId="164" fontId="0" fillId="2" borderId="2" xfId="0" applyNumberFormat="1" applyFill="1" applyBorder="1"/>
    <xf numFmtId="9" fontId="0" fillId="3" borderId="2" xfId="0" applyNumberFormat="1" applyFill="1" applyBorder="1"/>
    <xf numFmtId="20" fontId="0" fillId="0" borderId="2" xfId="0" applyNumberFormat="1" applyBorder="1"/>
    <xf numFmtId="20" fontId="0" fillId="0" borderId="48" xfId="0" applyNumberFormat="1" applyBorder="1"/>
    <xf numFmtId="20" fontId="0" fillId="2" borderId="6" xfId="0" applyNumberFormat="1" applyFill="1" applyBorder="1" applyAlignment="1">
      <alignment horizontal="center"/>
    </xf>
    <xf numFmtId="20" fontId="0" fillId="2" borderId="27" xfId="0" applyNumberFormat="1" applyFill="1" applyBorder="1" applyAlignment="1">
      <alignment horizontal="center"/>
    </xf>
    <xf numFmtId="164" fontId="0" fillId="2" borderId="27" xfId="0" applyNumberFormat="1" applyFill="1" applyBorder="1"/>
    <xf numFmtId="0" fontId="7" fillId="0" borderId="0" xfId="0" applyFont="1" applyAlignment="1">
      <alignment horizontal="center"/>
    </xf>
    <xf numFmtId="0" fontId="15" fillId="8" borderId="0" xfId="0" applyFont="1" applyFill="1" applyAlignment="1">
      <alignment horizontal="center" vertical="center" wrapText="1"/>
    </xf>
    <xf numFmtId="0" fontId="0" fillId="8" borderId="0" xfId="0" applyFill="1"/>
    <xf numFmtId="0" fontId="9" fillId="0" borderId="0" xfId="0" applyFont="1"/>
    <xf numFmtId="0" fontId="9" fillId="6" borderId="0" xfId="0" applyFont="1" applyFill="1"/>
    <xf numFmtId="0" fontId="0" fillId="0" borderId="22" xfId="0" applyBorder="1"/>
    <xf numFmtId="9" fontId="0" fillId="0" borderId="6" xfId="1" applyFont="1" applyBorder="1"/>
    <xf numFmtId="9" fontId="0" fillId="0" borderId="37" xfId="1" applyFont="1" applyBorder="1"/>
    <xf numFmtId="0" fontId="0" fillId="0" borderId="26" xfId="0" applyBorder="1"/>
    <xf numFmtId="9" fontId="0" fillId="0" borderId="27" xfId="1" applyFont="1" applyBorder="1"/>
    <xf numFmtId="9" fontId="0" fillId="0" borderId="38" xfId="1" applyFont="1" applyBorder="1"/>
    <xf numFmtId="0" fontId="0" fillId="0" borderId="24" xfId="0" applyBorder="1"/>
    <xf numFmtId="0" fontId="0" fillId="0" borderId="10" xfId="0" applyBorder="1"/>
    <xf numFmtId="0" fontId="9" fillId="0" borderId="46" xfId="0" applyFont="1" applyBorder="1" applyAlignment="1">
      <alignment horizontal="center"/>
    </xf>
    <xf numFmtId="0" fontId="9" fillId="0" borderId="6" xfId="0" applyFont="1" applyBorder="1" applyAlignment="1">
      <alignment horizontal="center"/>
    </xf>
    <xf numFmtId="0" fontId="9" fillId="0" borderId="37" xfId="0" applyFont="1" applyBorder="1" applyAlignment="1">
      <alignment horizontal="center"/>
    </xf>
    <xf numFmtId="0" fontId="20" fillId="2" borderId="0" xfId="0" applyFont="1" applyFill="1"/>
    <xf numFmtId="0" fontId="9" fillId="0" borderId="0" xfId="0" applyFont="1" applyAlignment="1">
      <alignment wrapText="1"/>
    </xf>
    <xf numFmtId="0" fontId="20" fillId="0" borderId="0" xfId="0" applyFont="1" applyAlignment="1">
      <alignment wrapText="1"/>
    </xf>
    <xf numFmtId="0" fontId="0" fillId="7" borderId="0" xfId="0" applyFill="1"/>
    <xf numFmtId="0" fontId="0" fillId="7" borderId="17" xfId="0" applyFill="1" applyBorder="1"/>
    <xf numFmtId="0" fontId="0" fillId="7" borderId="27" xfId="0" applyFill="1" applyBorder="1"/>
    <xf numFmtId="0" fontId="19" fillId="9" borderId="6" xfId="0" applyFont="1" applyFill="1" applyBorder="1" applyAlignment="1">
      <alignment horizontal="left" vertical="center"/>
    </xf>
    <xf numFmtId="1" fontId="0" fillId="2" borderId="6" xfId="0" applyNumberFormat="1" applyFill="1" applyBorder="1"/>
    <xf numFmtId="0" fontId="1" fillId="6" borderId="6" xfId="0" applyFont="1" applyFill="1" applyBorder="1" applyAlignment="1">
      <alignment horizontal="center"/>
    </xf>
    <xf numFmtId="0" fontId="3" fillId="0" borderId="0" xfId="0" quotePrefix="1" applyFont="1"/>
    <xf numFmtId="0" fontId="2" fillId="0" borderId="11" xfId="0" applyFont="1" applyBorder="1" applyAlignment="1">
      <alignment horizontal="center"/>
    </xf>
    <xf numFmtId="0" fontId="2" fillId="0" borderId="16" xfId="0" applyFont="1" applyBorder="1" applyAlignment="1">
      <alignment horizontal="center"/>
    </xf>
    <xf numFmtId="9" fontId="0" fillId="0" borderId="0" xfId="1" applyFont="1" applyAlignment="1">
      <alignment horizontal="center"/>
    </xf>
    <xf numFmtId="0" fontId="1" fillId="6" borderId="30" xfId="0" applyFont="1" applyFill="1" applyBorder="1" applyAlignment="1">
      <alignment horizontal="center"/>
    </xf>
    <xf numFmtId="0" fontId="1" fillId="6" borderId="48" xfId="0" applyFont="1" applyFill="1" applyBorder="1" applyAlignment="1">
      <alignment horizontal="center"/>
    </xf>
    <xf numFmtId="0" fontId="19" fillId="9" borderId="23" xfId="0" applyFont="1" applyFill="1" applyBorder="1"/>
    <xf numFmtId="0" fontId="19" fillId="9" borderId="58" xfId="0" applyFont="1" applyFill="1" applyBorder="1"/>
    <xf numFmtId="0" fontId="19" fillId="9" borderId="46" xfId="0" applyFont="1" applyFill="1" applyBorder="1"/>
    <xf numFmtId="0" fontId="15" fillId="9" borderId="55" xfId="0" applyFont="1" applyFill="1" applyBorder="1" applyAlignment="1">
      <alignment vertical="top" wrapText="1"/>
    </xf>
    <xf numFmtId="0" fontId="15" fillId="9" borderId="56" xfId="0" applyFont="1" applyFill="1" applyBorder="1" applyAlignment="1">
      <alignment vertical="top" wrapText="1"/>
    </xf>
    <xf numFmtId="0" fontId="15" fillId="9" borderId="57" xfId="0" applyFont="1" applyFill="1" applyBorder="1" applyAlignment="1">
      <alignment vertical="top" wrapText="1"/>
    </xf>
    <xf numFmtId="0" fontId="19" fillId="9" borderId="6" xfId="0" applyFont="1" applyFill="1" applyBorder="1"/>
    <xf numFmtId="0" fontId="15" fillId="9" borderId="23" xfId="0" applyFont="1" applyFill="1" applyBorder="1" applyAlignment="1">
      <alignment vertical="top" wrapText="1"/>
    </xf>
    <xf numFmtId="0" fontId="15" fillId="9" borderId="58" xfId="0" applyFont="1" applyFill="1" applyBorder="1" applyAlignment="1">
      <alignment vertical="top" wrapText="1"/>
    </xf>
    <xf numFmtId="0" fontId="15" fillId="9" borderId="46" xfId="0" applyFont="1" applyFill="1" applyBorder="1" applyAlignment="1">
      <alignment vertical="top" wrapText="1"/>
    </xf>
    <xf numFmtId="0" fontId="19" fillId="8" borderId="23" xfId="0" applyFont="1" applyFill="1" applyBorder="1" applyAlignment="1">
      <alignment horizontal="left" vertical="center"/>
    </xf>
    <xf numFmtId="0" fontId="19" fillId="8" borderId="58" xfId="0" applyFont="1" applyFill="1" applyBorder="1" applyAlignment="1">
      <alignment horizontal="left" vertical="center"/>
    </xf>
    <xf numFmtId="0" fontId="19" fillId="8" borderId="46" xfId="0" applyFont="1" applyFill="1" applyBorder="1" applyAlignment="1">
      <alignment horizontal="left" vertical="center"/>
    </xf>
    <xf numFmtId="0" fontId="15" fillId="10" borderId="0" xfId="0" applyFont="1" applyFill="1" applyAlignment="1">
      <alignment horizontal="center" vertical="center" wrapText="1"/>
    </xf>
    <xf numFmtId="0" fontId="15" fillId="10" borderId="0" xfId="0" applyFont="1" applyFill="1" applyAlignment="1">
      <alignment horizontal="center" vertical="center"/>
    </xf>
    <xf numFmtId="0" fontId="0" fillId="0" borderId="0" xfId="0" applyAlignment="1">
      <alignment horizontal="center"/>
    </xf>
    <xf numFmtId="0" fontId="21" fillId="11" borderId="59" xfId="0" applyFont="1" applyFill="1" applyBorder="1" applyAlignment="1">
      <alignment horizontal="center" vertical="center"/>
    </xf>
    <xf numFmtId="0" fontId="19" fillId="9" borderId="23" xfId="0" applyFont="1" applyFill="1" applyBorder="1" applyAlignment="1">
      <alignment horizontal="left" vertical="center" wrapText="1"/>
    </xf>
    <xf numFmtId="0" fontId="19" fillId="9" borderId="46" xfId="0" applyFont="1" applyFill="1" applyBorder="1" applyAlignment="1">
      <alignment horizontal="left" vertical="center" wrapText="1"/>
    </xf>
    <xf numFmtId="0" fontId="0" fillId="0" borderId="45" xfId="0" applyBorder="1" applyAlignment="1">
      <alignment wrapText="1"/>
    </xf>
    <xf numFmtId="0" fontId="0" fillId="0" borderId="46" xfId="0" applyBorder="1" applyAlignment="1">
      <alignment wrapText="1"/>
    </xf>
    <xf numFmtId="0" fontId="4" fillId="3" borderId="6" xfId="0" quotePrefix="1" applyFont="1" applyFill="1" applyBorder="1"/>
    <xf numFmtId="0" fontId="0" fillId="3" borderId="37" xfId="0" applyFill="1" applyBorder="1"/>
    <xf numFmtId="15" fontId="8" fillId="2" borderId="0" xfId="0" applyNumberFormat="1" applyFont="1" applyFill="1" applyAlignment="1">
      <alignment horizontal="center"/>
    </xf>
    <xf numFmtId="0" fontId="0" fillId="2" borderId="0" xfId="0" applyFill="1" applyAlignment="1">
      <alignment horizontal="center"/>
    </xf>
    <xf numFmtId="0" fontId="0" fillId="2" borderId="7" xfId="0" applyFill="1" applyBorder="1" applyAlignment="1">
      <alignment horizontal="center"/>
    </xf>
    <xf numFmtId="0" fontId="7" fillId="3" borderId="42" xfId="0" applyFont="1" applyFill="1" applyBorder="1" applyAlignment="1">
      <alignment horizontal="center"/>
    </xf>
    <xf numFmtId="0" fontId="7" fillId="3" borderId="43" xfId="0" applyFont="1" applyFill="1" applyBorder="1" applyAlignment="1">
      <alignment horizontal="center"/>
    </xf>
    <xf numFmtId="0" fontId="7" fillId="3" borderId="44" xfId="0" applyFont="1" applyFill="1" applyBorder="1" applyAlignment="1">
      <alignment horizontal="center"/>
    </xf>
    <xf numFmtId="0" fontId="7" fillId="6" borderId="0" xfId="0" applyFont="1" applyFill="1"/>
    <xf numFmtId="0" fontId="1" fillId="2" borderId="23" xfId="0" applyFont="1" applyFill="1" applyBorder="1"/>
    <xf numFmtId="0" fontId="1" fillId="2" borderId="46" xfId="0" applyFont="1" applyFill="1" applyBorder="1"/>
    <xf numFmtId="0" fontId="9" fillId="7" borderId="6" xfId="0" applyFont="1" applyFill="1" applyBorder="1"/>
    <xf numFmtId="0" fontId="0" fillId="7" borderId="6" xfId="0" applyFill="1" applyBorder="1"/>
    <xf numFmtId="0" fontId="7" fillId="2" borderId="6" xfId="0" applyFont="1" applyFill="1" applyBorder="1" applyAlignment="1">
      <alignment horizontal="center" vertical="center"/>
    </xf>
    <xf numFmtId="0" fontId="0" fillId="5" borderId="0" xfId="0" applyFill="1" applyAlignment="1">
      <alignment horizontal="center"/>
    </xf>
    <xf numFmtId="0" fontId="0" fillId="6" borderId="0" xfId="0" applyFill="1"/>
    <xf numFmtId="0" fontId="7" fillId="2" borderId="42" xfId="0" applyFont="1" applyFill="1" applyBorder="1" applyAlignment="1">
      <alignment horizontal="center"/>
    </xf>
    <xf numFmtId="0" fontId="7" fillId="2" borderId="43" xfId="0" applyFont="1" applyFill="1" applyBorder="1" applyAlignment="1">
      <alignment horizontal="center"/>
    </xf>
    <xf numFmtId="0" fontId="7" fillId="2" borderId="44" xfId="0" applyFont="1" applyFill="1" applyBorder="1" applyAlignment="1">
      <alignment horizontal="center"/>
    </xf>
    <xf numFmtId="0" fontId="6" fillId="2" borderId="12" xfId="0" applyFont="1" applyFill="1" applyBorder="1" applyAlignment="1">
      <alignment horizontal="center"/>
    </xf>
    <xf numFmtId="0" fontId="6" fillId="2" borderId="47" xfId="0" applyFont="1" applyFill="1" applyBorder="1" applyAlignment="1">
      <alignment horizontal="center"/>
    </xf>
    <xf numFmtId="0" fontId="18" fillId="3" borderId="0" xfId="0" applyFont="1" applyFill="1" applyAlignment="1">
      <alignment horizontal="center" vertical="center" wrapText="1"/>
    </xf>
    <xf numFmtId="0" fontId="9" fillId="0" borderId="0" xfId="0" applyFont="1"/>
    <xf numFmtId="0" fontId="9" fillId="7" borderId="0" xfId="0" applyFont="1" applyFill="1"/>
    <xf numFmtId="0" fontId="9" fillId="6" borderId="54" xfId="0" applyFont="1" applyFill="1" applyBorder="1" applyAlignment="1">
      <alignment horizontal="center"/>
    </xf>
    <xf numFmtId="0" fontId="9" fillId="6" borderId="2" xfId="0" applyFont="1" applyFill="1" applyBorder="1" applyAlignment="1">
      <alignment horizontal="center"/>
    </xf>
    <xf numFmtId="0" fontId="9" fillId="6" borderId="48" xfId="0" applyFont="1" applyFill="1" applyBorder="1" applyAlignment="1">
      <alignment horizontal="center"/>
    </xf>
    <xf numFmtId="0" fontId="7" fillId="0" borderId="42" xfId="0" applyFont="1" applyBorder="1" applyAlignment="1">
      <alignment horizontal="center"/>
    </xf>
    <xf numFmtId="0" fontId="7" fillId="0" borderId="43" xfId="0" applyFont="1" applyBorder="1" applyAlignment="1">
      <alignment horizontal="center"/>
    </xf>
    <xf numFmtId="0" fontId="7" fillId="0" borderId="44" xfId="0" applyFont="1" applyBorder="1" applyAlignment="1">
      <alignment horizontal="center"/>
    </xf>
    <xf numFmtId="0" fontId="7" fillId="0" borderId="2" xfId="0" applyFont="1" applyBorder="1" applyAlignment="1">
      <alignment horizontal="center"/>
    </xf>
    <xf numFmtId="0" fontId="7" fillId="0" borderId="48" xfId="0" applyFont="1" applyBorder="1" applyAlignment="1">
      <alignment horizontal="center"/>
    </xf>
    <xf numFmtId="20" fontId="0" fillId="0" borderId="0" xfId="0" applyNumberFormat="1" applyAlignment="1">
      <alignment horizontal="center"/>
    </xf>
    <xf numFmtId="9" fontId="0" fillId="0" borderId="0" xfId="1" applyFont="1" applyAlignment="1">
      <alignment horizontal="center"/>
    </xf>
    <xf numFmtId="0" fontId="9" fillId="0" borderId="3" xfId="0" applyFont="1" applyBorder="1"/>
    <xf numFmtId="0" fontId="7" fillId="0" borderId="30" xfId="0" applyFont="1" applyBorder="1" applyAlignment="1">
      <alignment horizontal="center"/>
    </xf>
  </cellXfs>
  <cellStyles count="2">
    <cellStyle name="Normal" xfId="0" builtinId="0"/>
    <cellStyle name="Percent" xfId="1" builtinId="5"/>
  </cellStyles>
  <dxfs count="2">
    <dxf>
      <font>
        <color theme="9"/>
      </font>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customXml" Target="../customXml/item1.xml"/><Relationship Id="rId10" Type="http://schemas.openxmlformats.org/officeDocument/2006/relationships/worksheet" Target="worksheets/sheet6.xml"/><Relationship Id="rId4" Type="http://schemas.openxmlformats.org/officeDocument/2006/relationships/chartsheet" Target="chartsheets/sheet1.xml"/><Relationship Id="rId9" Type="http://schemas.openxmlformats.org/officeDocument/2006/relationships/chartsheet" Target="chartsheets/sheet4.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6330338631652E-2"/>
          <c:y val="0.12485811577752554"/>
          <c:w val="0.89149965445749824"/>
          <c:h val="0.78433598183881947"/>
        </c:manualLayout>
      </c:layout>
      <c:barChart>
        <c:barDir val="col"/>
        <c:grouping val="percentStacked"/>
        <c:varyColors val="0"/>
        <c:ser>
          <c:idx val="0"/>
          <c:order val="0"/>
          <c:tx>
            <c:strRef>
              <c:f>'Categories Calcul'!$O$36</c:f>
              <c:strCache>
                <c:ptCount val="1"/>
                <c:pt idx="0">
                  <c:v>Auto maintenance/1st level diagnosis</c:v>
                </c:pt>
              </c:strCache>
            </c:strRef>
          </c:tx>
          <c:spPr>
            <a:solidFill>
              <a:srgbClr val="9999FF"/>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Calcul'!$Q$36,'Categories Calcul'!$S$36)</c:f>
              <c:numCache>
                <c:formatCode>General</c:formatCode>
                <c:ptCount val="2"/>
                <c:pt idx="0" formatCode="0.0%">
                  <c:v>0.20472440944881951</c:v>
                </c:pt>
              </c:numCache>
            </c:numRef>
          </c:val>
          <c:extLst>
            <c:ext xmlns:c16="http://schemas.microsoft.com/office/drawing/2014/chart" uri="{C3380CC4-5D6E-409C-BE32-E72D297353CC}">
              <c16:uniqueId val="{00000001-24F2-4CF5-AF79-DD8CC4026203}"/>
            </c:ext>
          </c:extLst>
        </c:ser>
        <c:ser>
          <c:idx val="1"/>
          <c:order val="1"/>
          <c:tx>
            <c:strRef>
              <c:f>'Categories Calcul'!$O$37</c:f>
              <c:strCache>
                <c:ptCount val="1"/>
                <c:pt idx="0">
                  <c:v>Operating tasks</c:v>
                </c:pt>
              </c:strCache>
            </c:strRef>
          </c:tx>
          <c:spPr>
            <a:solidFill>
              <a:srgbClr val="993366"/>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Calcul'!$Q$37,'Categories Calcul'!$S$37)</c:f>
              <c:numCache>
                <c:formatCode>General</c:formatCode>
                <c:ptCount val="2"/>
                <c:pt idx="0" formatCode="0.0%">
                  <c:v>0.16535433070866121</c:v>
                </c:pt>
              </c:numCache>
            </c:numRef>
          </c:val>
          <c:extLst>
            <c:ext xmlns:c16="http://schemas.microsoft.com/office/drawing/2014/chart" uri="{C3380CC4-5D6E-409C-BE32-E72D297353CC}">
              <c16:uniqueId val="{00000003-24F2-4CF5-AF79-DD8CC4026203}"/>
            </c:ext>
          </c:extLst>
        </c:ser>
        <c:ser>
          <c:idx val="2"/>
          <c:order val="2"/>
          <c:tx>
            <c:strRef>
              <c:f>'Categories Calcul'!$O$38</c:f>
              <c:strCache>
                <c:ptCount val="1"/>
                <c:pt idx="0">
                  <c:v>Preparation and security</c:v>
                </c:pt>
              </c:strCache>
            </c:strRef>
          </c:tx>
          <c:spPr>
            <a:solidFill>
              <a:srgbClr val="FFFFCC"/>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Calcul'!$Q$38,'Categories Calcul'!$S$38)</c:f>
              <c:numCache>
                <c:formatCode>General</c:formatCode>
                <c:ptCount val="2"/>
                <c:pt idx="0" formatCode="0.0%">
                  <c:v>0.15354330708661432</c:v>
                </c:pt>
              </c:numCache>
            </c:numRef>
          </c:val>
          <c:extLst>
            <c:ext xmlns:c16="http://schemas.microsoft.com/office/drawing/2014/chart" uri="{C3380CC4-5D6E-409C-BE32-E72D297353CC}">
              <c16:uniqueId val="{00000005-24F2-4CF5-AF79-DD8CC4026203}"/>
            </c:ext>
          </c:extLst>
        </c:ser>
        <c:ser>
          <c:idx val="3"/>
          <c:order val="3"/>
          <c:tx>
            <c:strRef>
              <c:f>'Categories Calcul'!$O$39</c:f>
              <c:strCache>
                <c:ptCount val="1"/>
                <c:pt idx="0">
                  <c:v>Active meetings/workshops</c:v>
                </c:pt>
              </c:strCache>
            </c:strRef>
          </c:tx>
          <c:spPr>
            <a:solidFill>
              <a:srgbClr val="CCFFFF"/>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Calcul'!$Q$39,'Categories Calcul'!$S$39)</c:f>
              <c:numCache>
                <c:formatCode>General</c:formatCode>
                <c:ptCount val="2"/>
                <c:pt idx="0" formatCode="0.0%">
                  <c:v>9.8425196850394026E-2</c:v>
                </c:pt>
              </c:numCache>
            </c:numRef>
          </c:val>
          <c:extLst>
            <c:ext xmlns:c16="http://schemas.microsoft.com/office/drawing/2014/chart" uri="{C3380CC4-5D6E-409C-BE32-E72D297353CC}">
              <c16:uniqueId val="{00000007-24F2-4CF5-AF79-DD8CC4026203}"/>
            </c:ext>
          </c:extLst>
        </c:ser>
        <c:ser>
          <c:idx val="4"/>
          <c:order val="4"/>
          <c:tx>
            <c:strRef>
              <c:f>'Categories Calcul'!$O$40</c:f>
              <c:strCache>
                <c:ptCount val="1"/>
                <c:pt idx="0">
                  <c:v>Equipment test and tune up</c:v>
                </c:pt>
              </c:strCache>
            </c:strRef>
          </c:tx>
          <c:spPr>
            <a:solidFill>
              <a:srgbClr val="660066"/>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Calcul'!$Q$40,'Categories Calcul'!$S$40)</c:f>
              <c:numCache>
                <c:formatCode>General</c:formatCode>
                <c:ptCount val="2"/>
                <c:pt idx="0" formatCode="0.0%">
                  <c:v>9.8425196850393387E-2</c:v>
                </c:pt>
              </c:numCache>
            </c:numRef>
          </c:val>
          <c:extLst>
            <c:ext xmlns:c16="http://schemas.microsoft.com/office/drawing/2014/chart" uri="{C3380CC4-5D6E-409C-BE32-E72D297353CC}">
              <c16:uniqueId val="{00000009-24F2-4CF5-AF79-DD8CC4026203}"/>
            </c:ext>
          </c:extLst>
        </c:ser>
        <c:ser>
          <c:idx val="5"/>
          <c:order val="5"/>
          <c:tx>
            <c:strRef>
              <c:f>'Categories Calcul'!$O$41</c:f>
              <c:strCache>
                <c:ptCount val="1"/>
                <c:pt idx="0">
                  <c:v>Quality test</c:v>
                </c:pt>
              </c:strCache>
            </c:strRef>
          </c:tx>
          <c:spPr>
            <a:solidFill>
              <a:srgbClr val="FF808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Calcul'!$Q$41,'Categories Calcul'!$S$41)</c:f>
              <c:numCache>
                <c:formatCode>General</c:formatCode>
                <c:ptCount val="2"/>
                <c:pt idx="0" formatCode="0.0%">
                  <c:v>8.6614173228345873E-2</c:v>
                </c:pt>
              </c:numCache>
            </c:numRef>
          </c:val>
          <c:extLst>
            <c:ext xmlns:c16="http://schemas.microsoft.com/office/drawing/2014/chart" uri="{C3380CC4-5D6E-409C-BE32-E72D297353CC}">
              <c16:uniqueId val="{0000000B-24F2-4CF5-AF79-DD8CC4026203}"/>
            </c:ext>
          </c:extLst>
        </c:ser>
        <c:ser>
          <c:idx val="6"/>
          <c:order val="6"/>
          <c:tx>
            <c:strRef>
              <c:f>'Categories Calcul'!$O$42</c:f>
              <c:strCache>
                <c:ptCount val="1"/>
                <c:pt idx="0">
                  <c:v>Cleaning</c:v>
                </c:pt>
              </c:strCache>
            </c:strRef>
          </c:tx>
          <c:spPr>
            <a:solidFill>
              <a:srgbClr val="0066CC"/>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Calcul'!$Q$42,'Categories Calcul'!$S$42)</c:f>
              <c:numCache>
                <c:formatCode>General</c:formatCode>
                <c:ptCount val="2"/>
                <c:pt idx="0" formatCode="0.0%">
                  <c:v>8.267716535433077E-2</c:v>
                </c:pt>
              </c:numCache>
            </c:numRef>
          </c:val>
          <c:extLst>
            <c:ext xmlns:c16="http://schemas.microsoft.com/office/drawing/2014/chart" uri="{C3380CC4-5D6E-409C-BE32-E72D297353CC}">
              <c16:uniqueId val="{0000000D-24F2-4CF5-AF79-DD8CC4026203}"/>
            </c:ext>
          </c:extLst>
        </c:ser>
        <c:ser>
          <c:idx val="7"/>
          <c:order val="7"/>
          <c:tx>
            <c:strRef>
              <c:f>'Categories Calcul'!$O$43</c:f>
              <c:strCache>
                <c:ptCount val="1"/>
                <c:pt idx="0">
                  <c:v>Equipment control</c:v>
                </c:pt>
              </c:strCache>
            </c:strRef>
          </c:tx>
          <c:spPr>
            <a:solidFill>
              <a:srgbClr val="CCCCFF"/>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Calcul'!$Q$43,'Categories Calcul'!$S$43)</c:f>
              <c:numCache>
                <c:formatCode>General</c:formatCode>
                <c:ptCount val="2"/>
                <c:pt idx="0" formatCode="0.0%">
                  <c:v>6.692913385826782E-2</c:v>
                </c:pt>
              </c:numCache>
            </c:numRef>
          </c:val>
          <c:extLst>
            <c:ext xmlns:c16="http://schemas.microsoft.com/office/drawing/2014/chart" uri="{C3380CC4-5D6E-409C-BE32-E72D297353CC}">
              <c16:uniqueId val="{0000000F-24F2-4CF5-AF79-DD8CC4026203}"/>
            </c:ext>
          </c:extLst>
        </c:ser>
        <c:ser>
          <c:idx val="8"/>
          <c:order val="8"/>
          <c:tx>
            <c:strRef>
              <c:f>'Categories Calcul'!$O$44</c:f>
              <c:strCache>
                <c:ptCount val="1"/>
                <c:pt idx="0">
                  <c:v>Calling/alerting for issues</c:v>
                </c:pt>
              </c:strCache>
            </c:strRef>
          </c:tx>
          <c:spPr>
            <a:solidFill>
              <a:srgbClr val="00008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Calcul'!$Q$44,'Categories Calcul'!$S$44)</c:f>
              <c:numCache>
                <c:formatCode>General</c:formatCode>
                <c:ptCount val="2"/>
                <c:pt idx="0" formatCode="0.0%">
                  <c:v>4.3307086614173089E-2</c:v>
                </c:pt>
              </c:numCache>
            </c:numRef>
          </c:val>
          <c:extLst>
            <c:ext xmlns:c16="http://schemas.microsoft.com/office/drawing/2014/chart" uri="{C3380CC4-5D6E-409C-BE32-E72D297353CC}">
              <c16:uniqueId val="{00000011-24F2-4CF5-AF79-DD8CC4026203}"/>
            </c:ext>
          </c:extLst>
        </c:ser>
        <c:ser>
          <c:idx val="9"/>
          <c:order val="9"/>
          <c:tx>
            <c:strRef>
              <c:f>'Categories Calcul'!$O$45</c:f>
              <c:strCache>
                <c:ptCount val="1"/>
              </c:strCache>
            </c:strRef>
          </c:tx>
          <c:spPr>
            <a:solidFill>
              <a:srgbClr val="FF00FF"/>
            </a:solidFill>
            <a:ln w="12700">
              <a:solidFill>
                <a:srgbClr val="000000"/>
              </a:solidFill>
              <a:prstDash val="solid"/>
            </a:ln>
          </c:spPr>
          <c:invertIfNegative val="0"/>
          <c:cat>
            <c:strRef>
              <c:f>('Categories Calcul'!$K$3,'Categories Calcul'!$K$4)</c:f>
              <c:strCache>
                <c:ptCount val="2"/>
                <c:pt idx="0">
                  <c:v>Direct</c:v>
                </c:pt>
                <c:pt idx="1">
                  <c:v>Indirect</c:v>
                </c:pt>
              </c:strCache>
            </c:strRef>
          </c:cat>
          <c:val>
            <c:numRef>
              <c:f>('Categories Calcul'!$Q$45,'Categories Calcul'!$S$45)</c:f>
              <c:numCache>
                <c:formatCode>General</c:formatCode>
                <c:ptCount val="2"/>
                <c:pt idx="0" formatCode="0.0%">
                  <c:v>0</c:v>
                </c:pt>
              </c:numCache>
            </c:numRef>
          </c:val>
          <c:extLst>
            <c:ext xmlns:c16="http://schemas.microsoft.com/office/drawing/2014/chart" uri="{C3380CC4-5D6E-409C-BE32-E72D297353CC}">
              <c16:uniqueId val="{00000012-24F2-4CF5-AF79-DD8CC4026203}"/>
            </c:ext>
          </c:extLst>
        </c:ser>
        <c:ser>
          <c:idx val="10"/>
          <c:order val="10"/>
          <c:tx>
            <c:strRef>
              <c:f>'Categories Calcul'!$O$46</c:f>
              <c:strCache>
                <c:ptCount val="1"/>
                <c:pt idx="0">
                  <c:v>VA</c:v>
                </c:pt>
              </c:strCache>
            </c:strRef>
          </c:tx>
          <c:spPr>
            <a:solidFill>
              <a:srgbClr val="00FF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Calcul'!$Q$46,'Categories Calcul'!$S$46)</c:f>
              <c:numCache>
                <c:formatCode>General</c:formatCode>
                <c:ptCount val="2"/>
              </c:numCache>
            </c:numRef>
          </c:val>
          <c:extLst>
            <c:ext xmlns:c16="http://schemas.microsoft.com/office/drawing/2014/chart" uri="{C3380CC4-5D6E-409C-BE32-E72D297353CC}">
              <c16:uniqueId val="{00000013-24F2-4CF5-AF79-DD8CC4026203}"/>
            </c:ext>
          </c:extLst>
        </c:ser>
        <c:ser>
          <c:idx val="11"/>
          <c:order val="11"/>
          <c:tx>
            <c:strRef>
              <c:f>'Categories Calcul'!$O$47</c:f>
              <c:strCache>
                <c:ptCount val="1"/>
                <c:pt idx="0">
                  <c:v>NVA</c:v>
                </c:pt>
              </c:strCache>
            </c:strRef>
          </c:tx>
          <c:spPr>
            <a:solidFill>
              <a:srgbClr val="FF00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Calcul'!$Q$47,'Categories Calcul'!$S$47)</c:f>
              <c:numCache>
                <c:formatCode>General</c:formatCode>
                <c:ptCount val="2"/>
              </c:numCache>
            </c:numRef>
          </c:val>
          <c:extLst>
            <c:ext xmlns:c16="http://schemas.microsoft.com/office/drawing/2014/chart" uri="{C3380CC4-5D6E-409C-BE32-E72D297353CC}">
              <c16:uniqueId val="{00000014-24F2-4CF5-AF79-DD8CC4026203}"/>
            </c:ext>
          </c:extLst>
        </c:ser>
        <c:ser>
          <c:idx val="12"/>
          <c:order val="12"/>
          <c:tx>
            <c:strRef>
              <c:f>'Categories Calcul'!$O$48</c:f>
              <c:strCache>
                <c:ptCount val="1"/>
                <c:pt idx="0">
                  <c:v>Available</c:v>
                </c:pt>
              </c:strCache>
            </c:strRef>
          </c:tx>
          <c:spPr>
            <a:solidFill>
              <a:srgbClr val="800080"/>
            </a:solidFill>
            <a:ln w="12700">
              <a:solidFill>
                <a:srgbClr val="000000"/>
              </a:solidFill>
              <a:prstDash val="solid"/>
            </a:ln>
          </c:spPr>
          <c:invertIfNegative val="0"/>
          <c:dLbls>
            <c:dLbl>
              <c:idx val="2"/>
              <c:spPr>
                <a:noFill/>
                <a:ln w="25400">
                  <a:noFill/>
                </a:ln>
              </c:spPr>
              <c:txPr>
                <a:bodyPr/>
                <a:lstStyle/>
                <a:p>
                  <a:pPr>
                    <a:defRPr sz="900" b="0" i="0" u="none" strike="noStrike" baseline="0">
                      <a:solidFill>
                        <a:schemeClr val="bg1"/>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5-24F2-4CF5-AF79-DD8CC4026203}"/>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Calcul'!$Q$48,'Categories Calcul'!$S$48)</c:f>
              <c:numCache>
                <c:formatCode>0.0%</c:formatCode>
                <c:ptCount val="2"/>
                <c:pt idx="1">
                  <c:v>0.15929203539822978</c:v>
                </c:pt>
              </c:numCache>
            </c:numRef>
          </c:val>
          <c:extLst>
            <c:ext xmlns:c16="http://schemas.microsoft.com/office/drawing/2014/chart" uri="{C3380CC4-5D6E-409C-BE32-E72D297353CC}">
              <c16:uniqueId val="{00000016-24F2-4CF5-AF79-DD8CC4026203}"/>
            </c:ext>
          </c:extLst>
        </c:ser>
        <c:ser>
          <c:idx val="13"/>
          <c:order val="13"/>
          <c:tx>
            <c:strRef>
              <c:f>'Categories Calcul'!$O$49</c:f>
              <c:strCache>
                <c:ptCount val="1"/>
                <c:pt idx="0">
                  <c:v>Waiting</c:v>
                </c:pt>
              </c:strCache>
            </c:strRef>
          </c:tx>
          <c:spPr>
            <a:solidFill>
              <a:srgbClr val="800000"/>
            </a:solidFill>
            <a:ln w="12700">
              <a:solidFill>
                <a:srgbClr val="000000"/>
              </a:solidFill>
              <a:prstDash val="solid"/>
            </a:ln>
          </c:spPr>
          <c:invertIfNegative val="0"/>
          <c:dLbls>
            <c:dLbl>
              <c:idx val="2"/>
              <c:spPr>
                <a:noFill/>
                <a:ln w="25400">
                  <a:noFill/>
                </a:ln>
              </c:spPr>
              <c:txPr>
                <a:bodyPr/>
                <a:lstStyle/>
                <a:p>
                  <a:pPr>
                    <a:defRPr sz="900" b="0" i="0" u="none" strike="noStrike" baseline="0">
                      <a:solidFill>
                        <a:schemeClr val="bg1"/>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7-24F2-4CF5-AF79-DD8CC4026203}"/>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Calcul'!$Q$49,'Categories Calcul'!$S$49)</c:f>
              <c:numCache>
                <c:formatCode>0.0%</c:formatCode>
                <c:ptCount val="2"/>
                <c:pt idx="1">
                  <c:v>0.1504424778761056</c:v>
                </c:pt>
              </c:numCache>
            </c:numRef>
          </c:val>
          <c:extLst>
            <c:ext xmlns:c16="http://schemas.microsoft.com/office/drawing/2014/chart" uri="{C3380CC4-5D6E-409C-BE32-E72D297353CC}">
              <c16:uniqueId val="{00000018-24F2-4CF5-AF79-DD8CC4026203}"/>
            </c:ext>
          </c:extLst>
        </c:ser>
        <c:ser>
          <c:idx val="14"/>
          <c:order val="14"/>
          <c:tx>
            <c:strRef>
              <c:f>'Categories Calcul'!$O$50</c:f>
              <c:strCache>
                <c:ptCount val="1"/>
                <c:pt idx="0">
                  <c:v>Rework</c:v>
                </c:pt>
              </c:strCache>
            </c:strRef>
          </c:tx>
          <c:spPr>
            <a:solidFill>
              <a:srgbClr val="008080"/>
            </a:solidFill>
            <a:ln w="12700">
              <a:solidFill>
                <a:srgbClr val="000000"/>
              </a:solidFill>
              <a:prstDash val="solid"/>
            </a:ln>
          </c:spPr>
          <c:invertIfNegative val="0"/>
          <c:dLbls>
            <c:dLbl>
              <c:idx val="2"/>
              <c:spPr>
                <a:noFill/>
                <a:ln w="25400">
                  <a:noFill/>
                </a:ln>
              </c:spPr>
              <c:txPr>
                <a:bodyPr/>
                <a:lstStyle/>
                <a:p>
                  <a:pPr>
                    <a:defRPr sz="900" b="0" i="0" u="none" strike="noStrike" baseline="0">
                      <a:solidFill>
                        <a:schemeClr val="bg1"/>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9-24F2-4CF5-AF79-DD8CC4026203}"/>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Calcul'!$Q$50,'Categories Calcul'!$S$50)</c:f>
              <c:numCache>
                <c:formatCode>0.0%</c:formatCode>
                <c:ptCount val="2"/>
                <c:pt idx="1">
                  <c:v>0.146017699115044</c:v>
                </c:pt>
              </c:numCache>
            </c:numRef>
          </c:val>
          <c:extLst>
            <c:ext xmlns:c16="http://schemas.microsoft.com/office/drawing/2014/chart" uri="{C3380CC4-5D6E-409C-BE32-E72D297353CC}">
              <c16:uniqueId val="{0000001A-24F2-4CF5-AF79-DD8CC4026203}"/>
            </c:ext>
          </c:extLst>
        </c:ser>
        <c:ser>
          <c:idx val="15"/>
          <c:order val="15"/>
          <c:tx>
            <c:strRef>
              <c:f>'Categories Calcul'!$O$51</c:f>
              <c:strCache>
                <c:ptCount val="1"/>
                <c:pt idx="0">
                  <c:v>Extended break</c:v>
                </c:pt>
              </c:strCache>
            </c:strRef>
          </c:tx>
          <c:spPr>
            <a:solidFill>
              <a:srgbClr val="0000FF"/>
            </a:solidFill>
            <a:ln w="12700">
              <a:solidFill>
                <a:srgbClr val="000000"/>
              </a:solidFill>
              <a:prstDash val="solid"/>
            </a:ln>
          </c:spPr>
          <c:invertIfNegative val="0"/>
          <c:dLbls>
            <c:dLbl>
              <c:idx val="1"/>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24F2-4CF5-AF79-DD8CC4026203}"/>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24F2-4CF5-AF79-DD8CC4026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('Categories Calcul'!$K$3,'Categories Calcul'!$K$4)</c:f>
              <c:strCache>
                <c:ptCount val="2"/>
                <c:pt idx="0">
                  <c:v>Direct</c:v>
                </c:pt>
                <c:pt idx="1">
                  <c:v>Indirect</c:v>
                </c:pt>
              </c:strCache>
            </c:strRef>
          </c:cat>
          <c:val>
            <c:numRef>
              <c:f>('Categories Calcul'!$Q$51,'Categories Calcul'!$S$51)</c:f>
              <c:numCache>
                <c:formatCode>0.0%</c:formatCode>
                <c:ptCount val="2"/>
                <c:pt idx="1">
                  <c:v>0.13716814159292121</c:v>
                </c:pt>
              </c:numCache>
            </c:numRef>
          </c:val>
          <c:extLst>
            <c:ext xmlns:c16="http://schemas.microsoft.com/office/drawing/2014/chart" uri="{C3380CC4-5D6E-409C-BE32-E72D297353CC}">
              <c16:uniqueId val="{0000001C-24F2-4CF5-AF79-DD8CC4026203}"/>
            </c:ext>
          </c:extLst>
        </c:ser>
        <c:ser>
          <c:idx val="16"/>
          <c:order val="16"/>
          <c:tx>
            <c:strRef>
              <c:f>'Categories Calcul'!$O$52</c:f>
              <c:strCache>
                <c:ptCount val="1"/>
                <c:pt idx="0">
                  <c:v>Travel</c:v>
                </c:pt>
              </c:strCache>
            </c:strRef>
          </c:tx>
          <c:spPr>
            <a:solidFill>
              <a:srgbClr val="00CC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chemeClr val="bg1"/>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D-24F2-4CF5-AF79-DD8CC4026203}"/>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Calcul'!$Q$52,'Categories Calcul'!$S$52)</c:f>
              <c:numCache>
                <c:formatCode>0.0%</c:formatCode>
                <c:ptCount val="2"/>
                <c:pt idx="1">
                  <c:v>0.11504424778761051</c:v>
                </c:pt>
              </c:numCache>
            </c:numRef>
          </c:val>
          <c:extLst>
            <c:ext xmlns:c16="http://schemas.microsoft.com/office/drawing/2014/chart" uri="{C3380CC4-5D6E-409C-BE32-E72D297353CC}">
              <c16:uniqueId val="{0000001E-24F2-4CF5-AF79-DD8CC4026203}"/>
            </c:ext>
          </c:extLst>
        </c:ser>
        <c:ser>
          <c:idx val="17"/>
          <c:order val="17"/>
          <c:tx>
            <c:strRef>
              <c:f>'Categories Calcul'!$O$53</c:f>
              <c:strCache>
                <c:ptCount val="1"/>
                <c:pt idx="0">
                  <c:v>Excessive Calling/alerting</c:v>
                </c:pt>
              </c:strCache>
            </c:strRef>
          </c:tx>
          <c:spPr>
            <a:solidFill>
              <a:srgbClr val="CCFF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F-24F2-4CF5-AF79-DD8CC4026203}"/>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Calcul'!$Q$53,'Categories Calcul'!$S$53)</c:f>
              <c:numCache>
                <c:formatCode>0.0%</c:formatCode>
                <c:ptCount val="2"/>
                <c:pt idx="1">
                  <c:v>9.7345132743362789E-2</c:v>
                </c:pt>
              </c:numCache>
            </c:numRef>
          </c:val>
          <c:extLst>
            <c:ext xmlns:c16="http://schemas.microsoft.com/office/drawing/2014/chart" uri="{C3380CC4-5D6E-409C-BE32-E72D297353CC}">
              <c16:uniqueId val="{00000020-24F2-4CF5-AF79-DD8CC4026203}"/>
            </c:ext>
          </c:extLst>
        </c:ser>
        <c:ser>
          <c:idx val="18"/>
          <c:order val="18"/>
          <c:tx>
            <c:strRef>
              <c:f>'Categories Calcul'!$O$54</c:f>
              <c:strCache>
                <c:ptCount val="1"/>
                <c:pt idx="0">
                  <c:v>Administrative tasks/keing reporting data</c:v>
                </c:pt>
              </c:strCache>
            </c:strRef>
          </c:tx>
          <c:spPr>
            <a:solidFill>
              <a:srgbClr val="CCFFCC"/>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21-24F2-4CF5-AF79-DD8CC4026203}"/>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Calcul'!$Q$54,'Categories Calcul'!$S$54)</c:f>
              <c:numCache>
                <c:formatCode>0.0%</c:formatCode>
                <c:ptCount val="2"/>
                <c:pt idx="1">
                  <c:v>8.4070796460177177E-2</c:v>
                </c:pt>
              </c:numCache>
            </c:numRef>
          </c:val>
          <c:extLst>
            <c:ext xmlns:c16="http://schemas.microsoft.com/office/drawing/2014/chart" uri="{C3380CC4-5D6E-409C-BE32-E72D297353CC}">
              <c16:uniqueId val="{00000022-24F2-4CF5-AF79-DD8CC4026203}"/>
            </c:ext>
          </c:extLst>
        </c:ser>
        <c:ser>
          <c:idx val="19"/>
          <c:order val="19"/>
          <c:tx>
            <c:strRef>
              <c:f>'Categories Calcul'!$O$55</c:f>
              <c:strCache>
                <c:ptCount val="1"/>
                <c:pt idx="0">
                  <c:v>Non active meetings</c:v>
                </c:pt>
              </c:strCache>
            </c:strRef>
          </c:tx>
          <c:spPr>
            <a:solidFill>
              <a:srgbClr val="FFFF99"/>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23-24F2-4CF5-AF79-DD8CC4026203}"/>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Calcul'!$Q$55,'Categories Calcul'!$S$55)</c:f>
              <c:numCache>
                <c:formatCode>0.0%</c:formatCode>
                <c:ptCount val="2"/>
                <c:pt idx="1">
                  <c:v>7.5221238938053145E-2</c:v>
                </c:pt>
              </c:numCache>
            </c:numRef>
          </c:val>
          <c:extLst>
            <c:ext xmlns:c16="http://schemas.microsoft.com/office/drawing/2014/chart" uri="{C3380CC4-5D6E-409C-BE32-E72D297353CC}">
              <c16:uniqueId val="{00000024-24F2-4CF5-AF79-DD8CC4026203}"/>
            </c:ext>
          </c:extLst>
        </c:ser>
        <c:ser>
          <c:idx val="20"/>
          <c:order val="20"/>
          <c:tx>
            <c:strRef>
              <c:f>'Categories Calcul'!$O$56</c:f>
              <c:strCache>
                <c:ptCount val="1"/>
                <c:pt idx="0">
                  <c:v>Training</c:v>
                </c:pt>
              </c:strCache>
            </c:strRef>
          </c:tx>
          <c:spPr>
            <a:solidFill>
              <a:srgbClr val="99CC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25-24F2-4CF5-AF79-DD8CC4026203}"/>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Calcul'!$K$3,'Categories Calcul'!$K$4)</c:f>
              <c:strCache>
                <c:ptCount val="2"/>
                <c:pt idx="0">
                  <c:v>Direct</c:v>
                </c:pt>
                <c:pt idx="1">
                  <c:v>Indirect</c:v>
                </c:pt>
              </c:strCache>
            </c:strRef>
          </c:cat>
          <c:val>
            <c:numRef>
              <c:f>('Categories Calcul'!$Q$56,'Categories Calcul'!$S$56)</c:f>
              <c:numCache>
                <c:formatCode>0.0%</c:formatCode>
                <c:ptCount val="2"/>
                <c:pt idx="1">
                  <c:v>3.0973451327433857E-2</c:v>
                </c:pt>
              </c:numCache>
            </c:numRef>
          </c:val>
          <c:extLst>
            <c:ext xmlns:c16="http://schemas.microsoft.com/office/drawing/2014/chart" uri="{C3380CC4-5D6E-409C-BE32-E72D297353CC}">
              <c16:uniqueId val="{00000026-24F2-4CF5-AF79-DD8CC4026203}"/>
            </c:ext>
          </c:extLst>
        </c:ser>
        <c:ser>
          <c:idx val="21"/>
          <c:order val="21"/>
          <c:tx>
            <c:strRef>
              <c:f>'Categories Calcul'!$O$57</c:f>
              <c:strCache>
                <c:ptCount val="1"/>
              </c:strCache>
            </c:strRef>
          </c:tx>
          <c:spPr>
            <a:solidFill>
              <a:srgbClr val="FF99CC"/>
            </a:solidFill>
            <a:ln w="12700">
              <a:solidFill>
                <a:srgbClr val="000000"/>
              </a:solidFill>
              <a:prstDash val="solid"/>
            </a:ln>
          </c:spPr>
          <c:invertIfNegative val="0"/>
          <c:cat>
            <c:strRef>
              <c:f>('Categories Calcul'!$K$3,'Categories Calcul'!$K$4)</c:f>
              <c:strCache>
                <c:ptCount val="2"/>
                <c:pt idx="0">
                  <c:v>Direct</c:v>
                </c:pt>
                <c:pt idx="1">
                  <c:v>Indirect</c:v>
                </c:pt>
              </c:strCache>
            </c:strRef>
          </c:cat>
          <c:val>
            <c:numRef>
              <c:f>('Categories Calcul'!$Q$57,'Categories Calcul'!$S$57)</c:f>
              <c:numCache>
                <c:formatCode>0.0%</c:formatCode>
                <c:ptCount val="2"/>
                <c:pt idx="1">
                  <c:v>4.4247787610619286E-3</c:v>
                </c:pt>
              </c:numCache>
            </c:numRef>
          </c:val>
          <c:extLst>
            <c:ext xmlns:c16="http://schemas.microsoft.com/office/drawing/2014/chart" uri="{C3380CC4-5D6E-409C-BE32-E72D297353CC}">
              <c16:uniqueId val="{00000028-24F2-4CF5-AF79-DD8CC4026203}"/>
            </c:ext>
          </c:extLst>
        </c:ser>
        <c:dLbls>
          <c:showLegendKey val="0"/>
          <c:showVal val="0"/>
          <c:showCatName val="0"/>
          <c:showSerName val="0"/>
          <c:showPercent val="0"/>
          <c:showBubbleSize val="0"/>
        </c:dLbls>
        <c:gapWidth val="30"/>
        <c:overlap val="100"/>
        <c:axId val="593700431"/>
        <c:axId val="1"/>
      </c:barChart>
      <c:catAx>
        <c:axId val="593700431"/>
        <c:scaling>
          <c:orientation val="minMax"/>
        </c:scaling>
        <c:delete val="0"/>
        <c:axPos val="b"/>
        <c:numFmt formatCode="General" sourceLinked="1"/>
        <c:majorTickMark val="out"/>
        <c:minorTickMark val="none"/>
        <c:tickLblPos val="nextTo"/>
        <c:spPr>
          <a:ln w="6350">
            <a:noFill/>
          </a:ln>
        </c:spPr>
        <c:txPr>
          <a:bodyPr rot="0" vert="horz"/>
          <a:lstStyle/>
          <a:p>
            <a:pPr>
              <a:defRPr sz="14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93700431"/>
        <c:crosses val="autoZero"/>
        <c:crossBetween val="between"/>
      </c:valAx>
      <c:spPr>
        <a:noFill/>
        <a:ln w="25400">
          <a:noFill/>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Improvement!$C$31</c:f>
          <c:strCache>
            <c:ptCount val="1"/>
            <c:pt idx="0">
              <c:v>Non Value Added reduction breakdown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Improvement!$M$6</c:f>
              <c:strCache>
                <c:ptCount val="1"/>
                <c:pt idx="0">
                  <c:v>Available</c:v>
                </c:pt>
              </c:strCache>
            </c:strRef>
          </c:tx>
          <c:spPr>
            <a:solidFill>
              <a:schemeClr val="accent1"/>
            </a:solidFill>
            <a:ln>
              <a:noFill/>
            </a:ln>
            <a:effectLst/>
          </c:spPr>
          <c:invertIfNegative val="0"/>
          <c:cat>
            <c:strRef>
              <c:f>Improvement!$N$5:$P$5</c:f>
              <c:strCache>
                <c:ptCount val="3"/>
                <c:pt idx="0">
                  <c:v>Initial</c:v>
                </c:pt>
                <c:pt idx="1">
                  <c:v>Min</c:v>
                </c:pt>
                <c:pt idx="2">
                  <c:v>Max</c:v>
                </c:pt>
              </c:strCache>
            </c:strRef>
          </c:cat>
          <c:val>
            <c:numRef>
              <c:f>Improvement!$N$6:$P$6</c:f>
              <c:numCache>
                <c:formatCode>h:mm</c:formatCode>
                <c:ptCount val="3"/>
                <c:pt idx="0">
                  <c:v>2.4999999999999967E-2</c:v>
                </c:pt>
                <c:pt idx="1">
                  <c:v>1.9999999999999973E-2</c:v>
                </c:pt>
                <c:pt idx="2">
                  <c:v>1.7499999999999977E-2</c:v>
                </c:pt>
              </c:numCache>
            </c:numRef>
          </c:val>
          <c:extLst>
            <c:ext xmlns:c16="http://schemas.microsoft.com/office/drawing/2014/chart" uri="{C3380CC4-5D6E-409C-BE32-E72D297353CC}">
              <c16:uniqueId val="{00000000-4233-463D-A1DA-819E15FAF0C8}"/>
            </c:ext>
          </c:extLst>
        </c:ser>
        <c:ser>
          <c:idx val="1"/>
          <c:order val="1"/>
          <c:tx>
            <c:strRef>
              <c:f>Improvement!$M$7</c:f>
              <c:strCache>
                <c:ptCount val="1"/>
                <c:pt idx="0">
                  <c:v>Waiting</c:v>
                </c:pt>
              </c:strCache>
            </c:strRef>
          </c:tx>
          <c:spPr>
            <a:solidFill>
              <a:schemeClr val="accent2"/>
            </a:solidFill>
            <a:ln>
              <a:noFill/>
            </a:ln>
            <a:effectLst/>
          </c:spPr>
          <c:invertIfNegative val="0"/>
          <c:cat>
            <c:strRef>
              <c:f>Improvement!$N$5:$P$5</c:f>
              <c:strCache>
                <c:ptCount val="3"/>
                <c:pt idx="0">
                  <c:v>Initial</c:v>
                </c:pt>
                <c:pt idx="1">
                  <c:v>Min</c:v>
                </c:pt>
                <c:pt idx="2">
                  <c:v>Max</c:v>
                </c:pt>
              </c:strCache>
            </c:strRef>
          </c:cat>
          <c:val>
            <c:numRef>
              <c:f>Improvement!$N$7:$P$7</c:f>
              <c:numCache>
                <c:formatCode>h:mm</c:formatCode>
                <c:ptCount val="3"/>
                <c:pt idx="0">
                  <c:v>2.3611111111111027E-2</c:v>
                </c:pt>
                <c:pt idx="1">
                  <c:v>1.6527777777777718E-2</c:v>
                </c:pt>
                <c:pt idx="2">
                  <c:v>1.4166666666666616E-2</c:v>
                </c:pt>
              </c:numCache>
            </c:numRef>
          </c:val>
          <c:extLst>
            <c:ext xmlns:c16="http://schemas.microsoft.com/office/drawing/2014/chart" uri="{C3380CC4-5D6E-409C-BE32-E72D297353CC}">
              <c16:uniqueId val="{00000001-4233-463D-A1DA-819E15FAF0C8}"/>
            </c:ext>
          </c:extLst>
        </c:ser>
        <c:ser>
          <c:idx val="2"/>
          <c:order val="2"/>
          <c:tx>
            <c:strRef>
              <c:f>Improvement!$M$8</c:f>
              <c:strCache>
                <c:ptCount val="1"/>
                <c:pt idx="0">
                  <c:v>Rework</c:v>
                </c:pt>
              </c:strCache>
            </c:strRef>
          </c:tx>
          <c:spPr>
            <a:solidFill>
              <a:schemeClr val="accent3"/>
            </a:solidFill>
            <a:ln>
              <a:noFill/>
            </a:ln>
            <a:effectLst/>
          </c:spPr>
          <c:invertIfNegative val="0"/>
          <c:cat>
            <c:strRef>
              <c:f>Improvement!$N$5:$P$5</c:f>
              <c:strCache>
                <c:ptCount val="3"/>
                <c:pt idx="0">
                  <c:v>Initial</c:v>
                </c:pt>
                <c:pt idx="1">
                  <c:v>Min</c:v>
                </c:pt>
                <c:pt idx="2">
                  <c:v>Max</c:v>
                </c:pt>
              </c:strCache>
            </c:strRef>
          </c:cat>
          <c:val>
            <c:numRef>
              <c:f>Improvement!$N$8:$P$8</c:f>
              <c:numCache>
                <c:formatCode>h:mm</c:formatCode>
                <c:ptCount val="3"/>
                <c:pt idx="0">
                  <c:v>2.2916666666666641E-2</c:v>
                </c:pt>
                <c:pt idx="1">
                  <c:v>2.0624999999999977E-2</c:v>
                </c:pt>
                <c:pt idx="2">
                  <c:v>1.8333333333333313E-2</c:v>
                </c:pt>
              </c:numCache>
            </c:numRef>
          </c:val>
          <c:extLst>
            <c:ext xmlns:c16="http://schemas.microsoft.com/office/drawing/2014/chart" uri="{C3380CC4-5D6E-409C-BE32-E72D297353CC}">
              <c16:uniqueId val="{00000002-4233-463D-A1DA-819E15FAF0C8}"/>
            </c:ext>
          </c:extLst>
        </c:ser>
        <c:ser>
          <c:idx val="3"/>
          <c:order val="3"/>
          <c:tx>
            <c:strRef>
              <c:f>Improvement!$M$9</c:f>
              <c:strCache>
                <c:ptCount val="1"/>
                <c:pt idx="0">
                  <c:v>Extended break</c:v>
                </c:pt>
              </c:strCache>
            </c:strRef>
          </c:tx>
          <c:spPr>
            <a:solidFill>
              <a:schemeClr val="accent4"/>
            </a:solidFill>
            <a:ln>
              <a:noFill/>
            </a:ln>
            <a:effectLst/>
          </c:spPr>
          <c:invertIfNegative val="0"/>
          <c:cat>
            <c:strRef>
              <c:f>Improvement!$N$5:$P$5</c:f>
              <c:strCache>
                <c:ptCount val="3"/>
                <c:pt idx="0">
                  <c:v>Initial</c:v>
                </c:pt>
                <c:pt idx="1">
                  <c:v>Min</c:v>
                </c:pt>
                <c:pt idx="2">
                  <c:v>Max</c:v>
                </c:pt>
              </c:strCache>
            </c:strRef>
          </c:cat>
          <c:val>
            <c:numRef>
              <c:f>Improvement!$N$9:$P$9</c:f>
              <c:numCache>
                <c:formatCode>h:mm</c:formatCode>
                <c:ptCount val="3"/>
                <c:pt idx="0">
                  <c:v>2.1527777777777923E-2</c:v>
                </c:pt>
                <c:pt idx="1">
                  <c:v>1.9375000000000132E-2</c:v>
                </c:pt>
                <c:pt idx="2">
                  <c:v>1.722222222222234E-2</c:v>
                </c:pt>
              </c:numCache>
            </c:numRef>
          </c:val>
          <c:extLst>
            <c:ext xmlns:c16="http://schemas.microsoft.com/office/drawing/2014/chart" uri="{C3380CC4-5D6E-409C-BE32-E72D297353CC}">
              <c16:uniqueId val="{00000003-4233-463D-A1DA-819E15FAF0C8}"/>
            </c:ext>
          </c:extLst>
        </c:ser>
        <c:ser>
          <c:idx val="4"/>
          <c:order val="4"/>
          <c:tx>
            <c:strRef>
              <c:f>Improvement!$M$10</c:f>
              <c:strCache>
                <c:ptCount val="1"/>
                <c:pt idx="0">
                  <c:v>Travel</c:v>
                </c:pt>
              </c:strCache>
            </c:strRef>
          </c:tx>
          <c:spPr>
            <a:solidFill>
              <a:schemeClr val="accent5"/>
            </a:solidFill>
            <a:ln>
              <a:noFill/>
            </a:ln>
            <a:effectLst/>
          </c:spPr>
          <c:invertIfNegative val="0"/>
          <c:cat>
            <c:strRef>
              <c:f>Improvement!$N$5:$P$5</c:f>
              <c:strCache>
                <c:ptCount val="3"/>
                <c:pt idx="0">
                  <c:v>Initial</c:v>
                </c:pt>
                <c:pt idx="1">
                  <c:v>Min</c:v>
                </c:pt>
                <c:pt idx="2">
                  <c:v>Max</c:v>
                </c:pt>
              </c:strCache>
            </c:strRef>
          </c:cat>
          <c:val>
            <c:numRef>
              <c:f>Improvement!$N$10:$P$10</c:f>
              <c:numCache>
                <c:formatCode>h:mm</c:formatCode>
                <c:ptCount val="3"/>
                <c:pt idx="0">
                  <c:v>1.8055555555555547E-2</c:v>
                </c:pt>
                <c:pt idx="1">
                  <c:v>1.4444444444444437E-2</c:v>
                </c:pt>
                <c:pt idx="2">
                  <c:v>1.2638888888888884E-2</c:v>
                </c:pt>
              </c:numCache>
            </c:numRef>
          </c:val>
          <c:extLst>
            <c:ext xmlns:c16="http://schemas.microsoft.com/office/drawing/2014/chart" uri="{C3380CC4-5D6E-409C-BE32-E72D297353CC}">
              <c16:uniqueId val="{00000004-4233-463D-A1DA-819E15FAF0C8}"/>
            </c:ext>
          </c:extLst>
        </c:ser>
        <c:ser>
          <c:idx val="5"/>
          <c:order val="5"/>
          <c:tx>
            <c:strRef>
              <c:f>Improvement!$M$11</c:f>
              <c:strCache>
                <c:ptCount val="1"/>
                <c:pt idx="0">
                  <c:v>Excessive Calling/alerting</c:v>
                </c:pt>
              </c:strCache>
            </c:strRef>
          </c:tx>
          <c:spPr>
            <a:solidFill>
              <a:schemeClr val="accent6"/>
            </a:solidFill>
            <a:ln>
              <a:noFill/>
            </a:ln>
            <a:effectLst/>
          </c:spPr>
          <c:invertIfNegative val="0"/>
          <c:cat>
            <c:strRef>
              <c:f>Improvement!$N$5:$P$5</c:f>
              <c:strCache>
                <c:ptCount val="3"/>
                <c:pt idx="0">
                  <c:v>Initial</c:v>
                </c:pt>
                <c:pt idx="1">
                  <c:v>Min</c:v>
                </c:pt>
                <c:pt idx="2">
                  <c:v>Max</c:v>
                </c:pt>
              </c:strCache>
            </c:strRef>
          </c:cat>
          <c:val>
            <c:numRef>
              <c:f>Improvement!$N$11:$P$11</c:f>
              <c:numCache>
                <c:formatCode>h:mm</c:formatCode>
                <c:ptCount val="3"/>
                <c:pt idx="0">
                  <c:v>1.5277777777777779E-2</c:v>
                </c:pt>
                <c:pt idx="1">
                  <c:v>1.3750000000000002E-2</c:v>
                </c:pt>
                <c:pt idx="2">
                  <c:v>1.2222222222222223E-2</c:v>
                </c:pt>
              </c:numCache>
            </c:numRef>
          </c:val>
          <c:extLst>
            <c:ext xmlns:c16="http://schemas.microsoft.com/office/drawing/2014/chart" uri="{C3380CC4-5D6E-409C-BE32-E72D297353CC}">
              <c16:uniqueId val="{00000005-4233-463D-A1DA-819E15FAF0C8}"/>
            </c:ext>
          </c:extLst>
        </c:ser>
        <c:ser>
          <c:idx val="6"/>
          <c:order val="6"/>
          <c:tx>
            <c:strRef>
              <c:f>Improvement!$M$12</c:f>
              <c:strCache>
                <c:ptCount val="1"/>
                <c:pt idx="0">
                  <c:v>Administrative tasks/keing reporting data</c:v>
                </c:pt>
              </c:strCache>
            </c:strRef>
          </c:tx>
          <c:spPr>
            <a:solidFill>
              <a:schemeClr val="accent1">
                <a:lumMod val="60000"/>
              </a:schemeClr>
            </a:solidFill>
            <a:ln>
              <a:noFill/>
            </a:ln>
            <a:effectLst/>
          </c:spPr>
          <c:invertIfNegative val="0"/>
          <c:cat>
            <c:strRef>
              <c:f>Improvement!$N$5:$P$5</c:f>
              <c:strCache>
                <c:ptCount val="3"/>
                <c:pt idx="0">
                  <c:v>Initial</c:v>
                </c:pt>
                <c:pt idx="1">
                  <c:v>Min</c:v>
                </c:pt>
                <c:pt idx="2">
                  <c:v>Max</c:v>
                </c:pt>
              </c:strCache>
            </c:strRef>
          </c:cat>
          <c:val>
            <c:numRef>
              <c:f>Improvement!$N$12:$P$12</c:f>
              <c:numCache>
                <c:formatCode>h:mm</c:formatCode>
                <c:ptCount val="3"/>
                <c:pt idx="0">
                  <c:v>1.3194444444444481E-2</c:v>
                </c:pt>
                <c:pt idx="1">
                  <c:v>1.1875000000000033E-2</c:v>
                </c:pt>
                <c:pt idx="2">
                  <c:v>1.0555555555555585E-2</c:v>
                </c:pt>
              </c:numCache>
            </c:numRef>
          </c:val>
          <c:extLst>
            <c:ext xmlns:c16="http://schemas.microsoft.com/office/drawing/2014/chart" uri="{C3380CC4-5D6E-409C-BE32-E72D297353CC}">
              <c16:uniqueId val="{00000006-4233-463D-A1DA-819E15FAF0C8}"/>
            </c:ext>
          </c:extLst>
        </c:ser>
        <c:ser>
          <c:idx val="7"/>
          <c:order val="7"/>
          <c:tx>
            <c:strRef>
              <c:f>Improvement!$M$13</c:f>
              <c:strCache>
                <c:ptCount val="1"/>
                <c:pt idx="0">
                  <c:v>Non active meetings</c:v>
                </c:pt>
              </c:strCache>
            </c:strRef>
          </c:tx>
          <c:spPr>
            <a:solidFill>
              <a:schemeClr val="accent2">
                <a:lumMod val="60000"/>
              </a:schemeClr>
            </a:solidFill>
            <a:ln>
              <a:noFill/>
            </a:ln>
            <a:effectLst/>
          </c:spPr>
          <c:invertIfNegative val="0"/>
          <c:cat>
            <c:strRef>
              <c:f>Improvement!$N$5:$P$5</c:f>
              <c:strCache>
                <c:ptCount val="3"/>
                <c:pt idx="0">
                  <c:v>Initial</c:v>
                </c:pt>
                <c:pt idx="1">
                  <c:v>Min</c:v>
                </c:pt>
                <c:pt idx="2">
                  <c:v>Max</c:v>
                </c:pt>
              </c:strCache>
            </c:strRef>
          </c:cat>
          <c:val>
            <c:numRef>
              <c:f>Improvement!$N$13:$P$13</c:f>
              <c:numCache>
                <c:formatCode>h:mm</c:formatCode>
                <c:ptCount val="3"/>
                <c:pt idx="0">
                  <c:v>1.1805555555555569E-2</c:v>
                </c:pt>
                <c:pt idx="1">
                  <c:v>8.2638888888888987E-3</c:v>
                </c:pt>
                <c:pt idx="2">
                  <c:v>7.0833333333333408E-3</c:v>
                </c:pt>
              </c:numCache>
            </c:numRef>
          </c:val>
          <c:extLst>
            <c:ext xmlns:c16="http://schemas.microsoft.com/office/drawing/2014/chart" uri="{C3380CC4-5D6E-409C-BE32-E72D297353CC}">
              <c16:uniqueId val="{00000007-4233-463D-A1DA-819E15FAF0C8}"/>
            </c:ext>
          </c:extLst>
        </c:ser>
        <c:ser>
          <c:idx val="8"/>
          <c:order val="8"/>
          <c:tx>
            <c:strRef>
              <c:f>Improvement!$M$14</c:f>
              <c:strCache>
                <c:ptCount val="1"/>
                <c:pt idx="0">
                  <c:v>Training</c:v>
                </c:pt>
              </c:strCache>
            </c:strRef>
          </c:tx>
          <c:spPr>
            <a:solidFill>
              <a:schemeClr val="accent3">
                <a:lumMod val="60000"/>
              </a:schemeClr>
            </a:solidFill>
            <a:ln>
              <a:noFill/>
            </a:ln>
            <a:effectLst/>
          </c:spPr>
          <c:invertIfNegative val="0"/>
          <c:cat>
            <c:strRef>
              <c:f>Improvement!$N$5:$P$5</c:f>
              <c:strCache>
                <c:ptCount val="3"/>
                <c:pt idx="0">
                  <c:v>Initial</c:v>
                </c:pt>
                <c:pt idx="1">
                  <c:v>Min</c:v>
                </c:pt>
                <c:pt idx="2">
                  <c:v>Max</c:v>
                </c:pt>
              </c:strCache>
            </c:strRef>
          </c:cat>
          <c:val>
            <c:numRef>
              <c:f>Improvement!$N$14:$P$14</c:f>
              <c:numCache>
                <c:formatCode>h:mm</c:formatCode>
                <c:ptCount val="3"/>
                <c:pt idx="0">
                  <c:v>4.8611111111111494E-3</c:v>
                </c:pt>
                <c:pt idx="1">
                  <c:v>3.8888888888889196E-3</c:v>
                </c:pt>
                <c:pt idx="2">
                  <c:v>3.4027777777778049E-3</c:v>
                </c:pt>
              </c:numCache>
            </c:numRef>
          </c:val>
          <c:extLst>
            <c:ext xmlns:c16="http://schemas.microsoft.com/office/drawing/2014/chart" uri="{C3380CC4-5D6E-409C-BE32-E72D297353CC}">
              <c16:uniqueId val="{00000008-4233-463D-A1DA-819E15FAF0C8}"/>
            </c:ext>
          </c:extLst>
        </c:ser>
        <c:ser>
          <c:idx val="9"/>
          <c:order val="9"/>
          <c:tx>
            <c:strRef>
              <c:f>Improvement!$M$15</c:f>
              <c:strCache>
                <c:ptCount val="1"/>
              </c:strCache>
            </c:strRef>
          </c:tx>
          <c:spPr>
            <a:solidFill>
              <a:schemeClr val="accent4">
                <a:lumMod val="60000"/>
              </a:schemeClr>
            </a:solidFill>
            <a:ln>
              <a:noFill/>
            </a:ln>
            <a:effectLst/>
          </c:spPr>
          <c:invertIfNegative val="0"/>
          <c:cat>
            <c:strRef>
              <c:f>Improvement!$N$5:$P$5</c:f>
              <c:strCache>
                <c:ptCount val="3"/>
                <c:pt idx="0">
                  <c:v>Initial</c:v>
                </c:pt>
                <c:pt idx="1">
                  <c:v>Min</c:v>
                </c:pt>
                <c:pt idx="2">
                  <c:v>Max</c:v>
                </c:pt>
              </c:strCache>
            </c:strRef>
          </c:cat>
          <c:val>
            <c:numRef>
              <c:f>Improvement!$N$15:$P$15</c:f>
              <c:numCache>
                <c:formatCode>h:mm</c:formatCode>
                <c:ptCount val="3"/>
                <c:pt idx="0">
                  <c:v>0</c:v>
                </c:pt>
                <c:pt idx="1">
                  <c:v>0</c:v>
                </c:pt>
                <c:pt idx="2">
                  <c:v>0</c:v>
                </c:pt>
              </c:numCache>
            </c:numRef>
          </c:val>
          <c:extLst>
            <c:ext xmlns:c16="http://schemas.microsoft.com/office/drawing/2014/chart" uri="{C3380CC4-5D6E-409C-BE32-E72D297353CC}">
              <c16:uniqueId val="{00000009-4233-463D-A1DA-819E15FAF0C8}"/>
            </c:ext>
          </c:extLst>
        </c:ser>
        <c:dLbls>
          <c:showLegendKey val="0"/>
          <c:showVal val="0"/>
          <c:showCatName val="0"/>
          <c:showSerName val="0"/>
          <c:showPercent val="0"/>
          <c:showBubbleSize val="0"/>
        </c:dLbls>
        <c:gapWidth val="150"/>
        <c:overlap val="100"/>
        <c:axId val="1661803823"/>
        <c:axId val="1595502975"/>
      </c:barChart>
      <c:catAx>
        <c:axId val="166180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502975"/>
        <c:crosses val="autoZero"/>
        <c:auto val="1"/>
        <c:lblAlgn val="ctr"/>
        <c:lblOffset val="100"/>
        <c:noMultiLvlLbl val="0"/>
      </c:catAx>
      <c:valAx>
        <c:axId val="1595502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18038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Improvement!$C$52</c:f>
          <c:strCache>
            <c:ptCount val="1"/>
            <c:pt idx="0">
              <c:v>Increased Added Value (Hours)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Improvement!$B$24</c:f>
              <c:strCache>
                <c:ptCount val="1"/>
                <c:pt idx="0">
                  <c:v>VA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Improvement!$C$23:$E$23</c:f>
              <c:strCache>
                <c:ptCount val="3"/>
                <c:pt idx="0">
                  <c:v>Initial</c:v>
                </c:pt>
                <c:pt idx="1">
                  <c:v>Min</c:v>
                </c:pt>
                <c:pt idx="2">
                  <c:v>Max</c:v>
                </c:pt>
              </c:strCache>
            </c:strRef>
          </c:cat>
          <c:val>
            <c:numRef>
              <c:f>Improvement!$C$24:$E$24</c:f>
              <c:numCache>
                <c:formatCode>h:mm</c:formatCode>
                <c:ptCount val="3"/>
                <c:pt idx="0">
                  <c:v>0.17708333333333329</c:v>
                </c:pt>
                <c:pt idx="1">
                  <c:v>0.20458333333333328</c:v>
                </c:pt>
                <c:pt idx="2">
                  <c:v>0.22020833333333328</c:v>
                </c:pt>
              </c:numCache>
            </c:numRef>
          </c:val>
          <c:extLst>
            <c:ext xmlns:c16="http://schemas.microsoft.com/office/drawing/2014/chart" uri="{C3380CC4-5D6E-409C-BE32-E72D297353CC}">
              <c16:uniqueId val="{00000000-6F63-4A1C-BFDC-51485B799DF0}"/>
            </c:ext>
          </c:extLst>
        </c:ser>
        <c:ser>
          <c:idx val="1"/>
          <c:order val="1"/>
          <c:tx>
            <c:strRef>
              <c:f>Improvement!$B$25</c:f>
              <c:strCache>
                <c:ptCount val="1"/>
                <c:pt idx="0">
                  <c:v>NVA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Improvement!$C$23:$E$23</c:f>
              <c:strCache>
                <c:ptCount val="3"/>
                <c:pt idx="0">
                  <c:v>Initial</c:v>
                </c:pt>
                <c:pt idx="1">
                  <c:v>Min</c:v>
                </c:pt>
                <c:pt idx="2">
                  <c:v>Max</c:v>
                </c:pt>
              </c:strCache>
            </c:strRef>
          </c:cat>
          <c:val>
            <c:numRef>
              <c:f>Improvement!$C$25:$E$25</c:f>
              <c:numCache>
                <c:formatCode>h:mm</c:formatCode>
                <c:ptCount val="3"/>
                <c:pt idx="0">
                  <c:v>0.15625000000000008</c:v>
                </c:pt>
                <c:pt idx="1">
                  <c:v>0.12875000000000009</c:v>
                </c:pt>
                <c:pt idx="2">
                  <c:v>0.11312500000000009</c:v>
                </c:pt>
              </c:numCache>
            </c:numRef>
          </c:val>
          <c:extLst>
            <c:ext xmlns:c16="http://schemas.microsoft.com/office/drawing/2014/chart" uri="{C3380CC4-5D6E-409C-BE32-E72D297353CC}">
              <c16:uniqueId val="{00000001-6F63-4A1C-BFDC-51485B799DF0}"/>
            </c:ext>
          </c:extLst>
        </c:ser>
        <c:dLbls>
          <c:showLegendKey val="0"/>
          <c:showVal val="0"/>
          <c:showCatName val="0"/>
          <c:showSerName val="0"/>
          <c:showPercent val="0"/>
          <c:showBubbleSize val="0"/>
        </c:dLbls>
        <c:gapWidth val="150"/>
        <c:overlap val="100"/>
        <c:axId val="1363522127"/>
        <c:axId val="1595495487"/>
      </c:barChart>
      <c:catAx>
        <c:axId val="136352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495487"/>
        <c:crosses val="autoZero"/>
        <c:auto val="1"/>
        <c:lblAlgn val="ctr"/>
        <c:lblOffset val="100"/>
        <c:noMultiLvlLbl val="0"/>
      </c:catAx>
      <c:valAx>
        <c:axId val="1595495487"/>
        <c:scaling>
          <c:orientation val="minMax"/>
        </c:scaling>
        <c:delete val="0"/>
        <c:axPos val="l"/>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3522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Improvement!$I$52</c:f>
          <c:strCache>
            <c:ptCount val="1"/>
            <c:pt idx="0">
              <c:v>Increased Added Value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Improvement!$B$24</c:f>
              <c:strCache>
                <c:ptCount val="1"/>
                <c:pt idx="0">
                  <c:v>VA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Improvement!$F$23:$H$23</c:f>
              <c:strCache>
                <c:ptCount val="3"/>
                <c:pt idx="0">
                  <c:v>Initial</c:v>
                </c:pt>
                <c:pt idx="1">
                  <c:v>Min</c:v>
                </c:pt>
                <c:pt idx="2">
                  <c:v>Max</c:v>
                </c:pt>
              </c:strCache>
            </c:strRef>
          </c:cat>
          <c:val>
            <c:numRef>
              <c:f>Improvement!$F$24:$H$24</c:f>
              <c:numCache>
                <c:formatCode>0%</c:formatCode>
                <c:ptCount val="3"/>
                <c:pt idx="0">
                  <c:v>0.53124999999999978</c:v>
                </c:pt>
                <c:pt idx="1">
                  <c:v>0.6137499999999998</c:v>
                </c:pt>
                <c:pt idx="2">
                  <c:v>0.6606249999999998</c:v>
                </c:pt>
              </c:numCache>
            </c:numRef>
          </c:val>
          <c:extLst>
            <c:ext xmlns:c16="http://schemas.microsoft.com/office/drawing/2014/chart" uri="{C3380CC4-5D6E-409C-BE32-E72D297353CC}">
              <c16:uniqueId val="{00000000-C1E0-45D2-81BE-26B5109A6F33}"/>
            </c:ext>
          </c:extLst>
        </c:ser>
        <c:ser>
          <c:idx val="1"/>
          <c:order val="1"/>
          <c:tx>
            <c:strRef>
              <c:f>Improvement!$B$25</c:f>
              <c:strCache>
                <c:ptCount val="1"/>
                <c:pt idx="0">
                  <c:v>NVA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Improvement!$F$23:$H$23</c:f>
              <c:strCache>
                <c:ptCount val="3"/>
                <c:pt idx="0">
                  <c:v>Initial</c:v>
                </c:pt>
                <c:pt idx="1">
                  <c:v>Min</c:v>
                </c:pt>
                <c:pt idx="2">
                  <c:v>Max</c:v>
                </c:pt>
              </c:strCache>
            </c:strRef>
          </c:cat>
          <c:val>
            <c:numRef>
              <c:f>Improvement!$F$25:$H$25</c:f>
              <c:numCache>
                <c:formatCode>0%</c:formatCode>
                <c:ptCount val="3"/>
                <c:pt idx="0">
                  <c:v>0.46875000000000022</c:v>
                </c:pt>
                <c:pt idx="1">
                  <c:v>0.3862500000000002</c:v>
                </c:pt>
                <c:pt idx="2">
                  <c:v>0.3393750000000002</c:v>
                </c:pt>
              </c:numCache>
            </c:numRef>
          </c:val>
          <c:extLst>
            <c:ext xmlns:c16="http://schemas.microsoft.com/office/drawing/2014/chart" uri="{C3380CC4-5D6E-409C-BE32-E72D297353CC}">
              <c16:uniqueId val="{00000001-C1E0-45D2-81BE-26B5109A6F33}"/>
            </c:ext>
          </c:extLst>
        </c:ser>
        <c:dLbls>
          <c:showLegendKey val="0"/>
          <c:showVal val="0"/>
          <c:showCatName val="0"/>
          <c:showSerName val="0"/>
          <c:showPercent val="0"/>
          <c:showBubbleSize val="0"/>
        </c:dLbls>
        <c:gapWidth val="150"/>
        <c:overlap val="100"/>
        <c:axId val="1363522127"/>
        <c:axId val="1595495487"/>
      </c:barChart>
      <c:catAx>
        <c:axId val="136352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495487"/>
        <c:crosses val="autoZero"/>
        <c:auto val="1"/>
        <c:lblAlgn val="ctr"/>
        <c:lblOffset val="100"/>
        <c:noMultiLvlLbl val="0"/>
      </c:catAx>
      <c:valAx>
        <c:axId val="15954954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3522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Improvement!$C$52</c:f>
          <c:strCache>
            <c:ptCount val="1"/>
            <c:pt idx="0">
              <c:v>Increased Added Value (Hours)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3019-4377-8A7B-9205BBFDB030}"/>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019-4377-8A7B-9205BBFDB030}"/>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5-3019-4377-8A7B-9205BBFDB030}"/>
              </c:ext>
            </c:extLst>
          </c:dPt>
          <c:dLbls>
            <c:dLbl>
              <c:idx val="0"/>
              <c:spPr>
                <a:noFill/>
                <a:ln>
                  <a:noFill/>
                </a:ln>
                <a:effectLst/>
              </c:spPr>
              <c:txPr>
                <a:bodyPr rot="0" spcFirstLastPara="1" vertOverflow="ellipsis" horzOverflow="clip"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3019-4377-8A7B-9205BBFDB03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Improvement!$M$24:$M$26</c:f>
              <c:strCache>
                <c:ptCount val="3"/>
                <c:pt idx="0">
                  <c:v>Initial VA</c:v>
                </c:pt>
                <c:pt idx="1">
                  <c:v>Target NVA</c:v>
                </c:pt>
                <c:pt idx="2">
                  <c:v>Additional VA</c:v>
                </c:pt>
              </c:strCache>
            </c:strRef>
          </c:cat>
          <c:val>
            <c:numRef>
              <c:f>Improvement!$N$24:$N$26</c:f>
              <c:numCache>
                <c:formatCode>h:mm</c:formatCode>
                <c:ptCount val="3"/>
                <c:pt idx="0">
                  <c:v>0.17708333333333329</c:v>
                </c:pt>
                <c:pt idx="1">
                  <c:v>0.12875000000000009</c:v>
                </c:pt>
                <c:pt idx="2">
                  <c:v>2.7499999999999997E-2</c:v>
                </c:pt>
              </c:numCache>
            </c:numRef>
          </c:val>
          <c:extLst>
            <c:ext xmlns:c16="http://schemas.microsoft.com/office/drawing/2014/chart" uri="{C3380CC4-5D6E-409C-BE32-E72D297353CC}">
              <c16:uniqueId val="{00000006-3019-4377-8A7B-9205BBFDB03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43248022292716E-2"/>
          <c:y val="6.862976099593579E-2"/>
          <c:w val="0.88999273814647006"/>
          <c:h val="0.45916578190137991"/>
        </c:manualLayout>
      </c:layout>
      <c:barChart>
        <c:barDir val="col"/>
        <c:grouping val="stacked"/>
        <c:varyColors val="0"/>
        <c:ser>
          <c:idx val="0"/>
          <c:order val="0"/>
          <c:spPr>
            <a:no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extLst>
              <c:ext xmlns:c16="http://schemas.microsoft.com/office/drawing/2014/chart" uri="{C3380CC4-5D6E-409C-BE32-E72D297353CC}">
                <c16:uniqueId val="{00000009-8012-40F8-8AAE-5A918E113B6A}"/>
              </c:ext>
            </c:extLst>
          </c:dPt>
          <c:dPt>
            <c:idx val="1"/>
            <c:invertIfNegative val="0"/>
            <c:bubble3D val="0"/>
            <c:spPr>
              <a:noFill/>
              <a:ln w="25400">
                <a:noFill/>
              </a:ln>
            </c:spPr>
            <c:extLst>
              <c:ext xmlns:c16="http://schemas.microsoft.com/office/drawing/2014/chart" uri="{C3380CC4-5D6E-409C-BE32-E72D297353CC}">
                <c16:uniqueId val="{00000008-8012-40F8-8AAE-5A918E113B6A}"/>
              </c:ext>
            </c:extLst>
          </c:dPt>
          <c:dPt>
            <c:idx val="2"/>
            <c:invertIfNegative val="0"/>
            <c:bubble3D val="0"/>
            <c:spPr>
              <a:noFill/>
              <a:ln w="25400">
                <a:noFill/>
              </a:ln>
            </c:spPr>
            <c:extLst>
              <c:ext xmlns:c16="http://schemas.microsoft.com/office/drawing/2014/chart" uri="{C3380CC4-5D6E-409C-BE32-E72D297353CC}">
                <c16:uniqueId val="{00000007-8012-40F8-8AAE-5A918E113B6A}"/>
              </c:ext>
            </c:extLst>
          </c:dPt>
          <c:dPt>
            <c:idx val="3"/>
            <c:invertIfNegative val="0"/>
            <c:bubble3D val="0"/>
            <c:spPr>
              <a:noFill/>
              <a:ln w="25400">
                <a:noFill/>
              </a:ln>
            </c:spPr>
            <c:extLst>
              <c:ext xmlns:c16="http://schemas.microsoft.com/office/drawing/2014/chart" uri="{C3380CC4-5D6E-409C-BE32-E72D297353CC}">
                <c16:uniqueId val="{00000006-8012-40F8-8AAE-5A918E113B6A}"/>
              </c:ext>
            </c:extLst>
          </c:dPt>
          <c:dPt>
            <c:idx val="4"/>
            <c:invertIfNegative val="0"/>
            <c:bubble3D val="0"/>
            <c:spPr>
              <a:noFill/>
              <a:ln w="25400">
                <a:noFill/>
              </a:ln>
            </c:spPr>
            <c:extLst>
              <c:ext xmlns:c16="http://schemas.microsoft.com/office/drawing/2014/chart" uri="{C3380CC4-5D6E-409C-BE32-E72D297353CC}">
                <c16:uniqueId val="{00000005-8012-40F8-8AAE-5A918E113B6A}"/>
              </c:ext>
            </c:extLst>
          </c:dPt>
          <c:dPt>
            <c:idx val="5"/>
            <c:invertIfNegative val="0"/>
            <c:bubble3D val="0"/>
            <c:spPr>
              <a:noFill/>
              <a:ln w="25400">
                <a:noFill/>
              </a:ln>
            </c:spPr>
            <c:extLst>
              <c:ext xmlns:c16="http://schemas.microsoft.com/office/drawing/2014/chart" uri="{C3380CC4-5D6E-409C-BE32-E72D297353CC}">
                <c16:uniqueId val="{00000004-8012-40F8-8AAE-5A918E113B6A}"/>
              </c:ext>
            </c:extLst>
          </c:dPt>
          <c:dPt>
            <c:idx val="6"/>
            <c:invertIfNegative val="0"/>
            <c:bubble3D val="0"/>
            <c:spPr>
              <a:noFill/>
              <a:ln w="25400">
                <a:noFill/>
              </a:ln>
            </c:spPr>
            <c:extLst>
              <c:ext xmlns:c16="http://schemas.microsoft.com/office/drawing/2014/chart" uri="{C3380CC4-5D6E-409C-BE32-E72D297353CC}">
                <c16:uniqueId val="{00000003-8012-40F8-8AAE-5A918E113B6A}"/>
              </c:ext>
            </c:extLst>
          </c:dPt>
          <c:dPt>
            <c:idx val="7"/>
            <c:invertIfNegative val="0"/>
            <c:bubble3D val="0"/>
            <c:spPr>
              <a:noFill/>
              <a:ln w="25400">
                <a:noFill/>
              </a:ln>
            </c:spPr>
            <c:extLst>
              <c:ext xmlns:c16="http://schemas.microsoft.com/office/drawing/2014/chart" uri="{C3380CC4-5D6E-409C-BE32-E72D297353CC}">
                <c16:uniqueId val="{00000002-8012-40F8-8AAE-5A918E113B6A}"/>
              </c:ext>
            </c:extLst>
          </c:dPt>
          <c:dPt>
            <c:idx val="8"/>
            <c:invertIfNegative val="0"/>
            <c:bubble3D val="0"/>
            <c:spPr>
              <a:noFill/>
              <a:ln w="25400">
                <a:noFill/>
              </a:ln>
            </c:spPr>
            <c:extLst>
              <c:ext xmlns:c16="http://schemas.microsoft.com/office/drawing/2014/chart" uri="{C3380CC4-5D6E-409C-BE32-E72D297353CC}">
                <c16:uniqueId val="{00000001-8012-40F8-8AAE-5A918E113B6A}"/>
              </c:ext>
            </c:extLst>
          </c:dPt>
          <c:dPt>
            <c:idx val="9"/>
            <c:invertIfNegative val="0"/>
            <c:bubble3D val="0"/>
            <c:spPr>
              <a:noFill/>
              <a:ln w="25400">
                <a:noFill/>
              </a:ln>
            </c:spPr>
            <c:extLst>
              <c:ext xmlns:c16="http://schemas.microsoft.com/office/drawing/2014/chart" uri="{C3380CC4-5D6E-409C-BE32-E72D297353CC}">
                <c16:uniqueId val="{00000000-8012-40F8-8AAE-5A918E113B6A}"/>
              </c:ext>
            </c:extLst>
          </c:dPt>
          <c:dLbls>
            <c:dLbl>
              <c:idx val="0"/>
              <c:layout>
                <c:manualLayout>
                  <c:x val="5.4644490968311948E-2"/>
                  <c:y val="-6.607111518855846E-3"/>
                </c:manualLayout>
              </c:layout>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2-40F8-8AAE-5A918E113B6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Calcul'!$O$62:$O$72</c:f>
              <c:strCache>
                <c:ptCount val="10"/>
                <c:pt idx="0">
                  <c:v>TOTAL</c:v>
                </c:pt>
                <c:pt idx="1">
                  <c:v>Available</c:v>
                </c:pt>
                <c:pt idx="2">
                  <c:v>Waiting</c:v>
                </c:pt>
                <c:pt idx="3">
                  <c:v>Rework</c:v>
                </c:pt>
                <c:pt idx="4">
                  <c:v>Extended break</c:v>
                </c:pt>
                <c:pt idx="5">
                  <c:v>Travel</c:v>
                </c:pt>
                <c:pt idx="6">
                  <c:v>Excessive Calling/alerting</c:v>
                </c:pt>
                <c:pt idx="7">
                  <c:v>Administrative tasks/keing reporting data</c:v>
                </c:pt>
                <c:pt idx="8">
                  <c:v>Non active meetings</c:v>
                </c:pt>
                <c:pt idx="9">
                  <c:v>Training</c:v>
                </c:pt>
              </c:strCache>
            </c:strRef>
          </c:cat>
          <c:val>
            <c:numRef>
              <c:f>'Categories Calcul'!$Q$62:$Q$72</c:f>
              <c:numCache>
                <c:formatCode>0%</c:formatCode>
                <c:ptCount val="11"/>
                <c:pt idx="0" formatCode="0.0%">
                  <c:v>0.47083333333333355</c:v>
                </c:pt>
                <c:pt idx="1">
                  <c:v>0.39583333333333365</c:v>
                </c:pt>
                <c:pt idx="2">
                  <c:v>0.32500000000000057</c:v>
                </c:pt>
                <c:pt idx="3">
                  <c:v>0.25625000000000064</c:v>
                </c:pt>
                <c:pt idx="4">
                  <c:v>0.19166666666666687</c:v>
                </c:pt>
                <c:pt idx="5">
                  <c:v>0.13750000000000023</c:v>
                </c:pt>
                <c:pt idx="6">
                  <c:v>9.1666666666666896E-2</c:v>
                </c:pt>
                <c:pt idx="7">
                  <c:v>5.2083333333333454E-2</c:v>
                </c:pt>
                <c:pt idx="8">
                  <c:v>1.6666666666666746E-2</c:v>
                </c:pt>
                <c:pt idx="9">
                  <c:v>2.0833333333332982E-3</c:v>
                </c:pt>
                <c:pt idx="10">
                  <c:v>-2.7321894746634712E-17</c:v>
                </c:pt>
              </c:numCache>
            </c:numRef>
          </c:val>
          <c:extLst>
            <c:ext xmlns:c16="http://schemas.microsoft.com/office/drawing/2014/chart" uri="{C3380CC4-5D6E-409C-BE32-E72D297353CC}">
              <c16:uniqueId val="{0000000A-8012-40F8-8AAE-5A918E113B6A}"/>
            </c:ext>
          </c:extLst>
        </c:ser>
        <c:ser>
          <c:idx val="1"/>
          <c:order val="1"/>
          <c:spPr>
            <a:solidFill>
              <a:srgbClr val="FF0000"/>
            </a:solidFill>
            <a:ln w="12700">
              <a:solidFill>
                <a:srgbClr val="000000"/>
              </a:solidFill>
              <a:prstDash val="solid"/>
            </a:ln>
          </c:spPr>
          <c:invertIfNegative val="0"/>
          <c:dPt>
            <c:idx val="0"/>
            <c:invertIfNegative val="0"/>
            <c:bubble3D val="0"/>
            <c:spPr>
              <a:solidFill>
                <a:srgbClr val="00FF00"/>
              </a:solidFill>
              <a:ln w="12700">
                <a:solidFill>
                  <a:srgbClr val="000000"/>
                </a:solidFill>
                <a:prstDash val="solid"/>
              </a:ln>
            </c:spPr>
            <c:extLst>
              <c:ext xmlns:c16="http://schemas.microsoft.com/office/drawing/2014/chart" uri="{C3380CC4-5D6E-409C-BE32-E72D297353CC}">
                <c16:uniqueId val="{0000000B-8012-40F8-8AAE-5A918E113B6A}"/>
              </c:ext>
            </c:extLst>
          </c:dPt>
          <c:dLbls>
            <c:dLbl>
              <c:idx val="0"/>
              <c:layout>
                <c:manualLayout>
                  <c:x val="5.6405109639224821E-2"/>
                  <c:y val="-7.4241404118079724E-3"/>
                </c:manualLayout>
              </c:layout>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2-40F8-8AAE-5A918E113B6A}"/>
                </c:ext>
              </c:extLst>
            </c:dLbl>
            <c:dLbl>
              <c:idx val="1"/>
              <c:layout>
                <c:manualLayout>
                  <c:x val="1.3119771119085299E-3"/>
                  <c:y val="-5.135589969815002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012-40F8-8AAE-5A918E113B6A}"/>
                </c:ext>
              </c:extLst>
            </c:dLbl>
            <c:dLbl>
              <c:idx val="2"/>
              <c:layout>
                <c:manualLayout>
                  <c:x val="1.3920129950840687E-3"/>
                  <c:y val="-4.1195905090092799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012-40F8-8AAE-5A918E113B6A}"/>
                </c:ext>
              </c:extLst>
            </c:dLbl>
            <c:dLbl>
              <c:idx val="3"/>
              <c:layout>
                <c:manualLayout>
                  <c:x val="1.4720488782595798E-3"/>
                  <c:y val="-4.0082664688475655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012-40F8-8AAE-5A918E113B6A}"/>
                </c:ext>
              </c:extLst>
            </c:dLbl>
            <c:dLbl>
              <c:idx val="4"/>
              <c:layout>
                <c:manualLayout>
                  <c:x val="2.4323940968915547E-3"/>
                  <c:y val="-4.3114310028650626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012-40F8-8AAE-5A918E113B6A}"/>
                </c:ext>
              </c:extLst>
            </c:dLbl>
            <c:dLbl>
              <c:idx val="5"/>
              <c:layout>
                <c:manualLayout>
                  <c:x val="6.9139766573493855E-3"/>
                  <c:y val="-3.5584206433569909E-2"/>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012-40F8-8AAE-5A918E113B6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Calcul'!$O$62:$O$72</c:f>
              <c:strCache>
                <c:ptCount val="10"/>
                <c:pt idx="0">
                  <c:v>TOTAL</c:v>
                </c:pt>
                <c:pt idx="1">
                  <c:v>Available</c:v>
                </c:pt>
                <c:pt idx="2">
                  <c:v>Waiting</c:v>
                </c:pt>
                <c:pt idx="3">
                  <c:v>Rework</c:v>
                </c:pt>
                <c:pt idx="4">
                  <c:v>Extended break</c:v>
                </c:pt>
                <c:pt idx="5">
                  <c:v>Travel</c:v>
                </c:pt>
                <c:pt idx="6">
                  <c:v>Excessive Calling/alerting</c:v>
                </c:pt>
                <c:pt idx="7">
                  <c:v>Administrative tasks/keing reporting data</c:v>
                </c:pt>
                <c:pt idx="8">
                  <c:v>Non active meetings</c:v>
                </c:pt>
                <c:pt idx="9">
                  <c:v>Training</c:v>
                </c:pt>
              </c:strCache>
            </c:strRef>
          </c:cat>
          <c:val>
            <c:numRef>
              <c:f>'Categories Calcul'!$R$62:$R$72</c:f>
              <c:numCache>
                <c:formatCode>0.0%</c:formatCode>
                <c:ptCount val="11"/>
                <c:pt idx="0">
                  <c:v>0.52916666666666634</c:v>
                </c:pt>
                <c:pt idx="1">
                  <c:v>7.4999999999999886E-2</c:v>
                </c:pt>
                <c:pt idx="2">
                  <c:v>7.0833333333333082E-2</c:v>
                </c:pt>
                <c:pt idx="3">
                  <c:v>6.8749999999999922E-2</c:v>
                </c:pt>
                <c:pt idx="4">
                  <c:v>6.458333333333377E-2</c:v>
                </c:pt>
                <c:pt idx="5">
                  <c:v>5.4166666666666641E-2</c:v>
                </c:pt>
                <c:pt idx="6">
                  <c:v>4.5833333333333337E-2</c:v>
                </c:pt>
                <c:pt idx="7">
                  <c:v>3.9583333333333443E-2</c:v>
                </c:pt>
                <c:pt idx="8">
                  <c:v>3.5416666666666707E-2</c:v>
                </c:pt>
                <c:pt idx="9">
                  <c:v>1.4583333333333448E-2</c:v>
                </c:pt>
                <c:pt idx="10">
                  <c:v>2.0833333333333255E-3</c:v>
                </c:pt>
              </c:numCache>
            </c:numRef>
          </c:val>
          <c:extLst>
            <c:ext xmlns:c16="http://schemas.microsoft.com/office/drawing/2014/chart" uri="{C3380CC4-5D6E-409C-BE32-E72D297353CC}">
              <c16:uniqueId val="{00000011-8012-40F8-8AAE-5A918E113B6A}"/>
            </c:ext>
          </c:extLst>
        </c:ser>
        <c:dLbls>
          <c:showLegendKey val="0"/>
          <c:showVal val="0"/>
          <c:showCatName val="0"/>
          <c:showSerName val="0"/>
          <c:showPercent val="0"/>
          <c:showBubbleSize val="0"/>
        </c:dLbls>
        <c:gapWidth val="150"/>
        <c:overlap val="100"/>
        <c:axId val="593701231"/>
        <c:axId val="1"/>
      </c:barChart>
      <c:catAx>
        <c:axId val="593701231"/>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1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93701231"/>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272115379201393"/>
          <c:y val="3.2346146942599116E-2"/>
          <c:w val="0.42326917168846501"/>
          <c:h val="0.73587484294412986"/>
        </c:manualLayout>
      </c:layout>
      <c:pieChart>
        <c:varyColors val="1"/>
        <c:ser>
          <c:idx val="0"/>
          <c:order val="0"/>
          <c:spPr>
            <a:solidFill>
              <a:srgbClr val="9999FF"/>
            </a:solidFill>
            <a:ln w="12700">
              <a:solidFill>
                <a:srgbClr val="000000"/>
              </a:solidFill>
              <a:prstDash val="solid"/>
            </a:ln>
          </c:spPr>
          <c:explosion val="27"/>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88CB-48A7-9D76-EF27A2907A31}"/>
              </c:ext>
            </c:extLst>
          </c:dPt>
          <c:dPt>
            <c:idx val="1"/>
            <c:bubble3D val="0"/>
            <c:spPr>
              <a:solidFill>
                <a:srgbClr val="FF0000"/>
              </a:solidFill>
              <a:ln w="12700">
                <a:solidFill>
                  <a:srgbClr val="000000"/>
                </a:solidFill>
                <a:prstDash val="solid"/>
              </a:ln>
            </c:spPr>
            <c:extLst>
              <c:ext xmlns:c16="http://schemas.microsoft.com/office/drawing/2014/chart" uri="{C3380CC4-5D6E-409C-BE32-E72D297353CC}">
                <c16:uniqueId val="{00000001-88CB-48A7-9D76-EF27A2907A31}"/>
              </c:ext>
            </c:extLst>
          </c:dPt>
          <c:dLbls>
            <c:numFmt formatCode="0%" sourceLinked="0"/>
            <c:spPr>
              <a:noFill/>
              <a:ln w="25400">
                <a:noFill/>
              </a:ln>
            </c:spPr>
            <c:txPr>
              <a:bodyPr wrap="square" lIns="38100" tIns="19050" rIns="38100" bIns="19050" anchor="ctr">
                <a:spAutoFit/>
              </a:bodyPr>
              <a:lstStyle/>
              <a:p>
                <a:pPr>
                  <a:defRPr sz="16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'Categories Calcul'!$O$21:$O$22</c:f>
              <c:strCache>
                <c:ptCount val="2"/>
                <c:pt idx="0">
                  <c:v>VA</c:v>
                </c:pt>
                <c:pt idx="1">
                  <c:v>NVA</c:v>
                </c:pt>
              </c:strCache>
            </c:strRef>
          </c:cat>
          <c:val>
            <c:numRef>
              <c:f>'Categories Calcul'!$R$21:$R$22</c:f>
              <c:numCache>
                <c:formatCode>0.0%</c:formatCode>
                <c:ptCount val="2"/>
                <c:pt idx="0">
                  <c:v>0.52916666666666634</c:v>
                </c:pt>
                <c:pt idx="1">
                  <c:v>0.47083333333333355</c:v>
                </c:pt>
              </c:numCache>
            </c:numRef>
          </c:val>
          <c:extLst>
            <c:ext xmlns:c16="http://schemas.microsoft.com/office/drawing/2014/chart" uri="{C3380CC4-5D6E-409C-BE32-E72D297353CC}">
              <c16:uniqueId val="{00000002-88CB-48A7-9D76-EF27A2907A31}"/>
            </c:ext>
          </c:extLst>
        </c:ser>
        <c:dLbls>
          <c:showLegendKey val="0"/>
          <c:showVal val="0"/>
          <c:showCatName val="0"/>
          <c:showSerName val="0"/>
          <c:showPercent val="1"/>
          <c:showBubbleSize val="0"/>
          <c:showLeaderLines val="1"/>
        </c:dLbls>
        <c:firstSliceAng val="0"/>
      </c:pieChart>
      <c:spPr>
        <a:noFill/>
        <a:ln w="25400">
          <a:noFill/>
        </a:ln>
      </c:spPr>
    </c:plotArea>
    <c:legend>
      <c:legendPos val="r"/>
      <c:layout>
        <c:manualLayout>
          <c:xMode val="edge"/>
          <c:yMode val="edge"/>
          <c:x val="0.41241611600414541"/>
          <c:y val="0.75474342866064592"/>
          <c:w val="0.16899758137011975"/>
          <c:h val="7.547434286606459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 Pie'!$B$38</c:f>
          <c:strCache>
            <c:ptCount val="1"/>
            <c:pt idx="0">
              <c:v>VA breakdown</c:v>
            </c:pt>
          </c:strCache>
        </c:strRef>
      </c:tx>
      <c:layout>
        <c:manualLayout>
          <c:xMode val="edge"/>
          <c:yMode val="edge"/>
          <c:x val="0.39680205846443578"/>
          <c:y val="3.138470896626798E-2"/>
        </c:manualLayout>
      </c:layout>
      <c:overlay val="0"/>
      <c:spPr>
        <a:noFill/>
        <a:ln w="25400">
          <a:noFill/>
        </a:ln>
      </c:spPr>
      <c:txPr>
        <a:bodyPr/>
        <a:lstStyle/>
        <a:p>
          <a:pPr>
            <a:defRPr sz="12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880795884051083"/>
          <c:y val="0.20970691900188149"/>
          <c:w val="0.53556809625113155"/>
          <c:h val="0.66621177669305209"/>
        </c:manualLayout>
      </c:layout>
      <c:pieChart>
        <c:varyColors val="1"/>
        <c:ser>
          <c:idx val="12"/>
          <c:order val="0"/>
          <c:tx>
            <c:strRef>
              <c:f>'Categories Calcul'!$Q$35</c:f>
              <c:strCache>
                <c:ptCount val="1"/>
                <c:pt idx="0">
                  <c:v>VA</c:v>
                </c:pt>
              </c:strCache>
            </c:strRef>
          </c:tx>
          <c:spPr>
            <a:solidFill>
              <a:srgbClr val="800080"/>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0-A0DA-4627-BBFF-1D486E55BB5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A0DA-4627-BBFF-1D486E55BB5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A0DA-4627-BBFF-1D486E55BB5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A0DA-4627-BBFF-1D486E55BB5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A0DA-4627-BBFF-1D486E55BB5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A0DA-4627-BBFF-1D486E55BB5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A0DA-4627-BBFF-1D486E55BB5A}"/>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A0DA-4627-BBFF-1D486E55BB5A}"/>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A0DA-4627-BBFF-1D486E55BB5A}"/>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A0DA-4627-BBFF-1D486E55BB5A}"/>
              </c:ext>
            </c:extLst>
          </c:dPt>
          <c:dLbls>
            <c:dLbl>
              <c:idx val="1"/>
              <c:spPr>
                <a:noFill/>
                <a:ln w="25400">
                  <a:noFill/>
                </a:ln>
              </c:spPr>
              <c:txPr>
                <a:bodyPr/>
                <a:lstStyle/>
                <a:p>
                  <a:pPr>
                    <a:defRPr sz="115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6="http://schemas.microsoft.com/office/drawing/2014/chart" uri="{C3380CC4-5D6E-409C-BE32-E72D297353CC}">
                  <c16:uniqueId val="{00000001-A0DA-4627-BBFF-1D486E55BB5A}"/>
                </c:ext>
              </c:extLst>
            </c:dLbl>
            <c:dLbl>
              <c:idx val="2"/>
              <c:spPr>
                <a:noFill/>
                <a:ln w="25400">
                  <a:noFill/>
                </a:ln>
              </c:spPr>
              <c:txPr>
                <a:bodyPr/>
                <a:lstStyle/>
                <a:p>
                  <a:pPr>
                    <a:defRPr sz="115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6="http://schemas.microsoft.com/office/drawing/2014/chart" uri="{C3380CC4-5D6E-409C-BE32-E72D297353CC}">
                  <c16:uniqueId val="{00000002-A0DA-4627-BBFF-1D486E55BB5A}"/>
                </c:ext>
              </c:extLst>
            </c:dLbl>
            <c:spPr>
              <a:noFill/>
              <a:ln w="25400">
                <a:noFill/>
              </a:ln>
            </c:spPr>
            <c:txPr>
              <a:bodyPr wrap="square" lIns="38100" tIns="19050" rIns="38100" bIns="19050" anchor="ctr">
                <a:spAutoFit/>
              </a:bodyPr>
              <a:lstStyle/>
              <a:p>
                <a:pPr>
                  <a:defRPr sz="115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'Categories Calcul'!$O$36:$O$45</c:f>
              <c:strCache>
                <c:ptCount val="9"/>
                <c:pt idx="0">
                  <c:v>Auto maintenance/1st level diagnosis</c:v>
                </c:pt>
                <c:pt idx="1">
                  <c:v>Operating tasks</c:v>
                </c:pt>
                <c:pt idx="2">
                  <c:v>Preparation and security</c:v>
                </c:pt>
                <c:pt idx="3">
                  <c:v>Active meetings/workshops</c:v>
                </c:pt>
                <c:pt idx="4">
                  <c:v>Equipment test and tune up</c:v>
                </c:pt>
                <c:pt idx="5">
                  <c:v>Quality test</c:v>
                </c:pt>
                <c:pt idx="6">
                  <c:v>Cleaning</c:v>
                </c:pt>
                <c:pt idx="7">
                  <c:v>Equipment control</c:v>
                </c:pt>
                <c:pt idx="8">
                  <c:v>Calling/alerting for issues</c:v>
                </c:pt>
              </c:strCache>
            </c:strRef>
          </c:cat>
          <c:val>
            <c:numRef>
              <c:f>'Categories Calcul'!$Q$36:$Q$45</c:f>
              <c:numCache>
                <c:formatCode>0.0%</c:formatCode>
                <c:ptCount val="10"/>
                <c:pt idx="0">
                  <c:v>0.20472440944881951</c:v>
                </c:pt>
                <c:pt idx="1">
                  <c:v>0.16535433070866121</c:v>
                </c:pt>
                <c:pt idx="2">
                  <c:v>0.15354330708661432</c:v>
                </c:pt>
                <c:pt idx="3">
                  <c:v>9.8425196850394026E-2</c:v>
                </c:pt>
                <c:pt idx="4">
                  <c:v>9.8425196850393387E-2</c:v>
                </c:pt>
                <c:pt idx="5">
                  <c:v>8.6614173228345873E-2</c:v>
                </c:pt>
                <c:pt idx="6">
                  <c:v>8.267716535433077E-2</c:v>
                </c:pt>
                <c:pt idx="7">
                  <c:v>6.692913385826782E-2</c:v>
                </c:pt>
                <c:pt idx="8">
                  <c:v>4.3307086614173089E-2</c:v>
                </c:pt>
                <c:pt idx="9">
                  <c:v>0</c:v>
                </c:pt>
              </c:numCache>
            </c:numRef>
          </c:val>
          <c:extLst>
            <c:ext xmlns:c16="http://schemas.microsoft.com/office/drawing/2014/chart" uri="{C3380CC4-5D6E-409C-BE32-E72D297353CC}">
              <c16:uniqueId val="{0000000A-A0DA-4627-BBFF-1D486E55BB5A}"/>
            </c:ext>
          </c:extLst>
        </c:ser>
        <c:dLbls>
          <c:showLegendKey val="0"/>
          <c:showVal val="0"/>
          <c:showCatName val="1"/>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9019692536221"/>
          <c:y val="0.10262362944357604"/>
          <c:w val="0.39375590947280259"/>
          <c:h val="0.79697073929585649"/>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3E49-4717-B763-744B18BE325C}"/>
              </c:ext>
            </c:extLst>
          </c:dPt>
          <c:dPt>
            <c:idx val="1"/>
            <c:bubble3D val="0"/>
            <c:spPr>
              <a:solidFill>
                <a:srgbClr val="FF0000"/>
              </a:solidFill>
              <a:ln w="12700">
                <a:solidFill>
                  <a:srgbClr val="000000"/>
                </a:solidFill>
                <a:prstDash val="solid"/>
              </a:ln>
            </c:spPr>
            <c:extLst>
              <c:ext xmlns:c16="http://schemas.microsoft.com/office/drawing/2014/chart" uri="{C3380CC4-5D6E-409C-BE32-E72D297353CC}">
                <c16:uniqueId val="{00000001-3E49-4717-B763-744B18BE325C}"/>
              </c:ext>
            </c:extLst>
          </c:dPt>
          <c:dLbls>
            <c:numFmt formatCode="0%" sourceLinked="0"/>
            <c:spPr>
              <a:noFill/>
              <a:ln w="25400">
                <a:noFill/>
              </a:ln>
            </c:spPr>
            <c:txPr>
              <a:bodyPr wrap="square" lIns="38100" tIns="19050" rIns="38100" bIns="19050" anchor="ctr">
                <a:spAutoFit/>
              </a:bodyPr>
              <a:lstStyle/>
              <a:p>
                <a:pPr>
                  <a:defRPr sz="1375" b="1" i="0" u="none" strike="noStrike" baseline="0">
                    <a:solidFill>
                      <a:srgbClr val="000000"/>
                    </a:solidFill>
                    <a:latin typeface="Arial"/>
                    <a:ea typeface="Arial"/>
                    <a:cs typeface="Arial"/>
                  </a:defRPr>
                </a:pPr>
                <a:endParaRPr lang="en-US"/>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'Categories Calcul'!$J$12:$J$13</c:f>
              <c:strCache>
                <c:ptCount val="2"/>
                <c:pt idx="0">
                  <c:v>Direct Value Added</c:v>
                </c:pt>
                <c:pt idx="1">
                  <c:v>Non Direct Value Added</c:v>
                </c:pt>
              </c:strCache>
            </c:strRef>
          </c:cat>
          <c:val>
            <c:numRef>
              <c:f>'Categories Calcul'!$K$12:$K$13</c:f>
              <c:numCache>
                <c:formatCode>h:mm</c:formatCode>
                <c:ptCount val="2"/>
                <c:pt idx="0">
                  <c:v>0.17638888888888882</c:v>
                </c:pt>
                <c:pt idx="1">
                  <c:v>0.15694444444444453</c:v>
                </c:pt>
              </c:numCache>
            </c:numRef>
          </c:val>
          <c:extLst>
            <c:ext xmlns:c16="http://schemas.microsoft.com/office/drawing/2014/chart" uri="{C3380CC4-5D6E-409C-BE32-E72D297353CC}">
              <c16:uniqueId val="{00000002-3E49-4717-B763-744B18BE325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2602117006903055"/>
          <c:y val="0.43669629550457895"/>
          <c:w val="0.26214434521066038"/>
          <c:h val="0.12882540717385077"/>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 Pie'!$L$38</c:f>
          <c:strCache>
            <c:ptCount val="1"/>
            <c:pt idx="0">
              <c:v>NVA breakdown</c:v>
            </c:pt>
          </c:strCache>
        </c:strRef>
      </c:tx>
      <c:layout>
        <c:manualLayout>
          <c:xMode val="edge"/>
          <c:yMode val="edge"/>
          <c:x val="0.39680205846443578"/>
          <c:y val="3.138470896626798E-2"/>
        </c:manualLayout>
      </c:layout>
      <c:overlay val="0"/>
      <c:spPr>
        <a:noFill/>
        <a:ln w="25400">
          <a:noFill/>
        </a:ln>
      </c:spPr>
      <c:txPr>
        <a:bodyPr/>
        <a:lstStyle/>
        <a:p>
          <a:pPr>
            <a:defRPr sz="12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880795884051083"/>
          <c:y val="0.20970691900188149"/>
          <c:w val="0.53556809625113155"/>
          <c:h val="0.66621177669305209"/>
        </c:manualLayout>
      </c:layout>
      <c:pieChart>
        <c:varyColors val="1"/>
        <c:ser>
          <c:idx val="12"/>
          <c:order val="0"/>
          <c:tx>
            <c:strRef>
              <c:f>'Categories Calcul'!$S$35</c:f>
              <c:strCache>
                <c:ptCount val="1"/>
                <c:pt idx="0">
                  <c:v>NVA</c:v>
                </c:pt>
              </c:strCache>
            </c:strRef>
          </c:tx>
          <c:spPr>
            <a:solidFill>
              <a:srgbClr val="800080"/>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F86E-4853-A107-EFD9908EB35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F86E-4853-A107-EFD9908EB35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F86E-4853-A107-EFD9908EB35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F86E-4853-A107-EFD9908EB35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F86E-4853-A107-EFD9908EB35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F86E-4853-A107-EFD9908EB35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F86E-4853-A107-EFD9908EB35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F-F86E-4853-A107-EFD9908EB353}"/>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1-F86E-4853-A107-EFD9908EB35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3-F86E-4853-A107-EFD9908EB353}"/>
              </c:ext>
            </c:extLst>
          </c:dPt>
          <c:dLbls>
            <c:dLbl>
              <c:idx val="1"/>
              <c:spPr>
                <a:noFill/>
                <a:ln w="25400">
                  <a:noFill/>
                </a:ln>
              </c:spPr>
              <c:txPr>
                <a:bodyPr/>
                <a:lstStyle/>
                <a:p>
                  <a:pPr>
                    <a:defRPr sz="115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6="http://schemas.microsoft.com/office/drawing/2014/chart" uri="{C3380CC4-5D6E-409C-BE32-E72D297353CC}">
                  <c16:uniqueId val="{00000003-F86E-4853-A107-EFD9908EB353}"/>
                </c:ext>
              </c:extLst>
            </c:dLbl>
            <c:dLbl>
              <c:idx val="2"/>
              <c:spPr>
                <a:noFill/>
                <a:ln w="25400">
                  <a:noFill/>
                </a:ln>
              </c:spPr>
              <c:txPr>
                <a:bodyPr/>
                <a:lstStyle/>
                <a:p>
                  <a:pPr>
                    <a:defRPr sz="115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6="http://schemas.microsoft.com/office/drawing/2014/chart" uri="{C3380CC4-5D6E-409C-BE32-E72D297353CC}">
                  <c16:uniqueId val="{00000005-F86E-4853-A107-EFD9908EB353}"/>
                </c:ext>
              </c:extLst>
            </c:dLbl>
            <c:spPr>
              <a:noFill/>
              <a:ln w="25400">
                <a:noFill/>
              </a:ln>
            </c:spPr>
            <c:txPr>
              <a:bodyPr wrap="square" lIns="38100" tIns="19050" rIns="38100" bIns="19050" anchor="ctr">
                <a:spAutoFit/>
              </a:bodyPr>
              <a:lstStyle/>
              <a:p>
                <a:pPr>
                  <a:defRPr sz="115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'Categories Calcul'!$O$48:$O$57</c:f>
              <c:strCache>
                <c:ptCount val="9"/>
                <c:pt idx="0">
                  <c:v>Available</c:v>
                </c:pt>
                <c:pt idx="1">
                  <c:v>Waiting</c:v>
                </c:pt>
                <c:pt idx="2">
                  <c:v>Rework</c:v>
                </c:pt>
                <c:pt idx="3">
                  <c:v>Extended break</c:v>
                </c:pt>
                <c:pt idx="4">
                  <c:v>Travel</c:v>
                </c:pt>
                <c:pt idx="5">
                  <c:v>Excessive Calling/alerting</c:v>
                </c:pt>
                <c:pt idx="6">
                  <c:v>Administrative tasks/keing reporting data</c:v>
                </c:pt>
                <c:pt idx="7">
                  <c:v>Non active meetings</c:v>
                </c:pt>
                <c:pt idx="8">
                  <c:v>Training</c:v>
                </c:pt>
              </c:strCache>
            </c:strRef>
          </c:cat>
          <c:val>
            <c:numRef>
              <c:f>'Categories Calcul'!$S$48:$S$57</c:f>
              <c:numCache>
                <c:formatCode>0.0%</c:formatCode>
                <c:ptCount val="10"/>
                <c:pt idx="0">
                  <c:v>0.15929203539822978</c:v>
                </c:pt>
                <c:pt idx="1">
                  <c:v>0.1504424778761056</c:v>
                </c:pt>
                <c:pt idx="2">
                  <c:v>0.146017699115044</c:v>
                </c:pt>
                <c:pt idx="3">
                  <c:v>0.13716814159292121</c:v>
                </c:pt>
                <c:pt idx="4">
                  <c:v>0.11504424778761051</c:v>
                </c:pt>
                <c:pt idx="5">
                  <c:v>9.7345132743362789E-2</c:v>
                </c:pt>
                <c:pt idx="6">
                  <c:v>8.4070796460177177E-2</c:v>
                </c:pt>
                <c:pt idx="7">
                  <c:v>7.5221238938053145E-2</c:v>
                </c:pt>
                <c:pt idx="8">
                  <c:v>3.0973451327433857E-2</c:v>
                </c:pt>
                <c:pt idx="9">
                  <c:v>4.4247787610619286E-3</c:v>
                </c:pt>
              </c:numCache>
            </c:numRef>
          </c:val>
          <c:extLst>
            <c:ext xmlns:c16="http://schemas.microsoft.com/office/drawing/2014/chart" uri="{C3380CC4-5D6E-409C-BE32-E72D297353CC}">
              <c16:uniqueId val="{00000014-F86E-4853-A107-EFD9908EB353}"/>
            </c:ext>
          </c:extLst>
        </c:ser>
        <c:dLbls>
          <c:showLegendKey val="0"/>
          <c:showVal val="0"/>
          <c:showCatName val="1"/>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6330338631652E-2"/>
          <c:y val="0.12485811577752554"/>
          <c:w val="0.89149965445749824"/>
          <c:h val="0.78433598183881947"/>
        </c:manualLayout>
      </c:layout>
      <c:barChart>
        <c:barDir val="col"/>
        <c:grouping val="percentStacked"/>
        <c:varyColors val="0"/>
        <c:ser>
          <c:idx val="0"/>
          <c:order val="0"/>
          <c:tx>
            <c:strRef>
              <c:f>'Categories Calcul'!$O$36</c:f>
              <c:strCache>
                <c:ptCount val="1"/>
                <c:pt idx="0">
                  <c:v>Auto maintenance/1st level diagnosis</c:v>
                </c:pt>
              </c:strCache>
            </c:strRef>
          </c:tx>
          <c:spPr>
            <a:solidFill>
              <a:srgbClr val="9999FF"/>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Calcul'!$Q$36:$S$36</c:f>
              <c:numCache>
                <c:formatCode>General</c:formatCode>
                <c:ptCount val="3"/>
                <c:pt idx="0" formatCode="0.0%">
                  <c:v>0.20472440944881951</c:v>
                </c:pt>
              </c:numCache>
            </c:numRef>
          </c:val>
          <c:extLst>
            <c:ext xmlns:c16="http://schemas.microsoft.com/office/drawing/2014/chart" uri="{C3380CC4-5D6E-409C-BE32-E72D297353CC}">
              <c16:uniqueId val="{00000001-CADF-44BF-8586-5CD9BBAC4CF0}"/>
            </c:ext>
          </c:extLst>
        </c:ser>
        <c:ser>
          <c:idx val="1"/>
          <c:order val="1"/>
          <c:tx>
            <c:strRef>
              <c:f>'Categories Calcul'!$O$37</c:f>
              <c:strCache>
                <c:ptCount val="1"/>
                <c:pt idx="0">
                  <c:v>Operating tasks</c:v>
                </c:pt>
              </c:strCache>
            </c:strRef>
          </c:tx>
          <c:spPr>
            <a:solidFill>
              <a:srgbClr val="993366"/>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Calcul'!$Q$37:$S$37</c:f>
              <c:numCache>
                <c:formatCode>General</c:formatCode>
                <c:ptCount val="3"/>
                <c:pt idx="0" formatCode="0.0%">
                  <c:v>0.16535433070866121</c:v>
                </c:pt>
              </c:numCache>
            </c:numRef>
          </c:val>
          <c:extLst>
            <c:ext xmlns:c16="http://schemas.microsoft.com/office/drawing/2014/chart" uri="{C3380CC4-5D6E-409C-BE32-E72D297353CC}">
              <c16:uniqueId val="{00000003-CADF-44BF-8586-5CD9BBAC4CF0}"/>
            </c:ext>
          </c:extLst>
        </c:ser>
        <c:ser>
          <c:idx val="2"/>
          <c:order val="2"/>
          <c:tx>
            <c:strRef>
              <c:f>'Categories Calcul'!$O$38</c:f>
              <c:strCache>
                <c:ptCount val="1"/>
                <c:pt idx="0">
                  <c:v>Preparation and security</c:v>
                </c:pt>
              </c:strCache>
            </c:strRef>
          </c:tx>
          <c:spPr>
            <a:solidFill>
              <a:srgbClr val="FFFFCC"/>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Calcul'!$Q$38:$S$38</c:f>
              <c:numCache>
                <c:formatCode>General</c:formatCode>
                <c:ptCount val="3"/>
                <c:pt idx="0" formatCode="0.0%">
                  <c:v>0.15354330708661432</c:v>
                </c:pt>
              </c:numCache>
            </c:numRef>
          </c:val>
          <c:extLst>
            <c:ext xmlns:c16="http://schemas.microsoft.com/office/drawing/2014/chart" uri="{C3380CC4-5D6E-409C-BE32-E72D297353CC}">
              <c16:uniqueId val="{00000005-CADF-44BF-8586-5CD9BBAC4CF0}"/>
            </c:ext>
          </c:extLst>
        </c:ser>
        <c:ser>
          <c:idx val="3"/>
          <c:order val="3"/>
          <c:tx>
            <c:strRef>
              <c:f>'Categories Calcul'!$O$39</c:f>
              <c:strCache>
                <c:ptCount val="1"/>
                <c:pt idx="0">
                  <c:v>Active meetings/workshops</c:v>
                </c:pt>
              </c:strCache>
            </c:strRef>
          </c:tx>
          <c:spPr>
            <a:solidFill>
              <a:srgbClr val="CCFFFF"/>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Calcul'!$Q$39:$S$39</c:f>
              <c:numCache>
                <c:formatCode>General</c:formatCode>
                <c:ptCount val="3"/>
                <c:pt idx="0" formatCode="0.0%">
                  <c:v>9.8425196850394026E-2</c:v>
                </c:pt>
              </c:numCache>
            </c:numRef>
          </c:val>
          <c:extLst>
            <c:ext xmlns:c16="http://schemas.microsoft.com/office/drawing/2014/chart" uri="{C3380CC4-5D6E-409C-BE32-E72D297353CC}">
              <c16:uniqueId val="{00000007-CADF-44BF-8586-5CD9BBAC4CF0}"/>
            </c:ext>
          </c:extLst>
        </c:ser>
        <c:ser>
          <c:idx val="4"/>
          <c:order val="4"/>
          <c:tx>
            <c:strRef>
              <c:f>'Categories Calcul'!$O$40</c:f>
              <c:strCache>
                <c:ptCount val="1"/>
                <c:pt idx="0">
                  <c:v>Equipment test and tune up</c:v>
                </c:pt>
              </c:strCache>
            </c:strRef>
          </c:tx>
          <c:spPr>
            <a:solidFill>
              <a:srgbClr val="660066"/>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Calcul'!$Q$40:$S$40</c:f>
              <c:numCache>
                <c:formatCode>General</c:formatCode>
                <c:ptCount val="3"/>
                <c:pt idx="0" formatCode="0.0%">
                  <c:v>9.8425196850393387E-2</c:v>
                </c:pt>
              </c:numCache>
            </c:numRef>
          </c:val>
          <c:extLst>
            <c:ext xmlns:c16="http://schemas.microsoft.com/office/drawing/2014/chart" uri="{C3380CC4-5D6E-409C-BE32-E72D297353CC}">
              <c16:uniqueId val="{00000009-CADF-44BF-8586-5CD9BBAC4CF0}"/>
            </c:ext>
          </c:extLst>
        </c:ser>
        <c:ser>
          <c:idx val="5"/>
          <c:order val="5"/>
          <c:tx>
            <c:strRef>
              <c:f>'Categories Calcul'!$O$41</c:f>
              <c:strCache>
                <c:ptCount val="1"/>
                <c:pt idx="0">
                  <c:v>Quality test</c:v>
                </c:pt>
              </c:strCache>
            </c:strRef>
          </c:tx>
          <c:spPr>
            <a:solidFill>
              <a:srgbClr val="FF808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Calcul'!$Q$41:$S$41</c:f>
              <c:numCache>
                <c:formatCode>General</c:formatCode>
                <c:ptCount val="3"/>
                <c:pt idx="0" formatCode="0.0%">
                  <c:v>8.6614173228345873E-2</c:v>
                </c:pt>
              </c:numCache>
            </c:numRef>
          </c:val>
          <c:extLst>
            <c:ext xmlns:c16="http://schemas.microsoft.com/office/drawing/2014/chart" uri="{C3380CC4-5D6E-409C-BE32-E72D297353CC}">
              <c16:uniqueId val="{0000000B-CADF-44BF-8586-5CD9BBAC4CF0}"/>
            </c:ext>
          </c:extLst>
        </c:ser>
        <c:ser>
          <c:idx val="6"/>
          <c:order val="6"/>
          <c:tx>
            <c:strRef>
              <c:f>'Categories Calcul'!$O$42</c:f>
              <c:strCache>
                <c:ptCount val="1"/>
                <c:pt idx="0">
                  <c:v>Cleaning</c:v>
                </c:pt>
              </c:strCache>
            </c:strRef>
          </c:tx>
          <c:spPr>
            <a:solidFill>
              <a:srgbClr val="0066CC"/>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Calcul'!$Q$42:$S$42</c:f>
              <c:numCache>
                <c:formatCode>General</c:formatCode>
                <c:ptCount val="3"/>
                <c:pt idx="0" formatCode="0.0%">
                  <c:v>8.267716535433077E-2</c:v>
                </c:pt>
              </c:numCache>
            </c:numRef>
          </c:val>
          <c:extLst>
            <c:ext xmlns:c16="http://schemas.microsoft.com/office/drawing/2014/chart" uri="{C3380CC4-5D6E-409C-BE32-E72D297353CC}">
              <c16:uniqueId val="{0000000D-CADF-44BF-8586-5CD9BBAC4CF0}"/>
            </c:ext>
          </c:extLst>
        </c:ser>
        <c:ser>
          <c:idx val="7"/>
          <c:order val="7"/>
          <c:tx>
            <c:strRef>
              <c:f>'Categories Calcul'!$O$43</c:f>
              <c:strCache>
                <c:ptCount val="1"/>
                <c:pt idx="0">
                  <c:v>Equipment control</c:v>
                </c:pt>
              </c:strCache>
            </c:strRef>
          </c:tx>
          <c:spPr>
            <a:solidFill>
              <a:srgbClr val="CCCCFF"/>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Calcul'!$Q$43:$S$43</c:f>
              <c:numCache>
                <c:formatCode>General</c:formatCode>
                <c:ptCount val="3"/>
                <c:pt idx="0" formatCode="0.0%">
                  <c:v>6.692913385826782E-2</c:v>
                </c:pt>
              </c:numCache>
            </c:numRef>
          </c:val>
          <c:extLst>
            <c:ext xmlns:c16="http://schemas.microsoft.com/office/drawing/2014/chart" uri="{C3380CC4-5D6E-409C-BE32-E72D297353CC}">
              <c16:uniqueId val="{0000000F-CADF-44BF-8586-5CD9BBAC4CF0}"/>
            </c:ext>
          </c:extLst>
        </c:ser>
        <c:ser>
          <c:idx val="8"/>
          <c:order val="8"/>
          <c:tx>
            <c:strRef>
              <c:f>'Categories Calcul'!$O$44</c:f>
              <c:strCache>
                <c:ptCount val="1"/>
                <c:pt idx="0">
                  <c:v>Calling/alerting for issues</c:v>
                </c:pt>
              </c:strCache>
            </c:strRef>
          </c:tx>
          <c:spPr>
            <a:solidFill>
              <a:srgbClr val="00008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Calcul'!$Q$44:$S$44</c:f>
              <c:numCache>
                <c:formatCode>General</c:formatCode>
                <c:ptCount val="3"/>
                <c:pt idx="0" formatCode="0.0%">
                  <c:v>4.3307086614173089E-2</c:v>
                </c:pt>
              </c:numCache>
            </c:numRef>
          </c:val>
          <c:extLst>
            <c:ext xmlns:c16="http://schemas.microsoft.com/office/drawing/2014/chart" uri="{C3380CC4-5D6E-409C-BE32-E72D297353CC}">
              <c16:uniqueId val="{00000011-CADF-44BF-8586-5CD9BBAC4CF0}"/>
            </c:ext>
          </c:extLst>
        </c:ser>
        <c:ser>
          <c:idx val="9"/>
          <c:order val="9"/>
          <c:tx>
            <c:strRef>
              <c:f>'Categories Calcul'!$O$45</c:f>
              <c:strCache>
                <c:ptCount val="1"/>
              </c:strCache>
            </c:strRef>
          </c:tx>
          <c:spPr>
            <a:solidFill>
              <a:srgbClr val="FF00FF"/>
            </a:solidFill>
            <a:ln w="12700">
              <a:solidFill>
                <a:srgbClr val="000000"/>
              </a:solidFill>
              <a:prstDash val="solid"/>
            </a:ln>
          </c:spPr>
          <c:invertIfNegative val="0"/>
          <c:cat>
            <c:strRef>
              <c:f>'Categories Calcul'!$Q$35:$S$35</c:f>
              <c:strCache>
                <c:ptCount val="3"/>
                <c:pt idx="0">
                  <c:v>VA</c:v>
                </c:pt>
                <c:pt idx="1">
                  <c:v>VA/NVA</c:v>
                </c:pt>
                <c:pt idx="2">
                  <c:v>NVA</c:v>
                </c:pt>
              </c:strCache>
            </c:strRef>
          </c:cat>
          <c:val>
            <c:numRef>
              <c:f>'Categories Calcul'!$Q$45:$S$45</c:f>
              <c:numCache>
                <c:formatCode>General</c:formatCode>
                <c:ptCount val="3"/>
                <c:pt idx="0" formatCode="0.0%">
                  <c:v>0</c:v>
                </c:pt>
              </c:numCache>
            </c:numRef>
          </c:val>
          <c:extLst>
            <c:ext xmlns:c16="http://schemas.microsoft.com/office/drawing/2014/chart" uri="{C3380CC4-5D6E-409C-BE32-E72D297353CC}">
              <c16:uniqueId val="{00000012-CADF-44BF-8586-5CD9BBAC4CF0}"/>
            </c:ext>
          </c:extLst>
        </c:ser>
        <c:ser>
          <c:idx val="10"/>
          <c:order val="10"/>
          <c:tx>
            <c:strRef>
              <c:f>'Categories Calcul'!$O$46</c:f>
              <c:strCache>
                <c:ptCount val="1"/>
                <c:pt idx="0">
                  <c:v>VA</c:v>
                </c:pt>
              </c:strCache>
            </c:strRef>
          </c:tx>
          <c:spPr>
            <a:solidFill>
              <a:srgbClr val="00FF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Calcul'!$Q$46:$S$46</c:f>
              <c:numCache>
                <c:formatCode>0.0%</c:formatCode>
                <c:ptCount val="3"/>
                <c:pt idx="1">
                  <c:v>0.52916666666666634</c:v>
                </c:pt>
              </c:numCache>
            </c:numRef>
          </c:val>
          <c:extLst>
            <c:ext xmlns:c16="http://schemas.microsoft.com/office/drawing/2014/chart" uri="{C3380CC4-5D6E-409C-BE32-E72D297353CC}">
              <c16:uniqueId val="{00000013-CADF-44BF-8586-5CD9BBAC4CF0}"/>
            </c:ext>
          </c:extLst>
        </c:ser>
        <c:ser>
          <c:idx val="11"/>
          <c:order val="11"/>
          <c:tx>
            <c:strRef>
              <c:f>'Categories Calcul'!$O$47</c:f>
              <c:strCache>
                <c:ptCount val="1"/>
                <c:pt idx="0">
                  <c:v>NVA</c:v>
                </c:pt>
              </c:strCache>
            </c:strRef>
          </c:tx>
          <c:spPr>
            <a:solidFill>
              <a:srgbClr val="FF00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Calcul'!$Q$47:$S$47</c:f>
              <c:numCache>
                <c:formatCode>0.0%</c:formatCode>
                <c:ptCount val="3"/>
                <c:pt idx="1">
                  <c:v>0.47083333333333355</c:v>
                </c:pt>
              </c:numCache>
            </c:numRef>
          </c:val>
          <c:extLst>
            <c:ext xmlns:c16="http://schemas.microsoft.com/office/drawing/2014/chart" uri="{C3380CC4-5D6E-409C-BE32-E72D297353CC}">
              <c16:uniqueId val="{00000014-CADF-44BF-8586-5CD9BBAC4CF0}"/>
            </c:ext>
          </c:extLst>
        </c:ser>
        <c:ser>
          <c:idx val="12"/>
          <c:order val="12"/>
          <c:tx>
            <c:strRef>
              <c:f>'Categories Calcul'!$O$48</c:f>
              <c:strCache>
                <c:ptCount val="1"/>
                <c:pt idx="0">
                  <c:v>Available</c:v>
                </c:pt>
              </c:strCache>
            </c:strRef>
          </c:tx>
          <c:spPr>
            <a:solidFill>
              <a:srgbClr val="800080"/>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Calcul'!$Q$48:$S$48</c:f>
              <c:numCache>
                <c:formatCode>General</c:formatCode>
                <c:ptCount val="3"/>
                <c:pt idx="2" formatCode="0.0%">
                  <c:v>0.15929203539822978</c:v>
                </c:pt>
              </c:numCache>
            </c:numRef>
          </c:val>
          <c:extLst>
            <c:ext xmlns:c16="http://schemas.microsoft.com/office/drawing/2014/chart" uri="{C3380CC4-5D6E-409C-BE32-E72D297353CC}">
              <c16:uniqueId val="{00000016-CADF-44BF-8586-5CD9BBAC4CF0}"/>
            </c:ext>
          </c:extLst>
        </c:ser>
        <c:ser>
          <c:idx val="13"/>
          <c:order val="13"/>
          <c:tx>
            <c:strRef>
              <c:f>'Categories Calcul'!$O$49</c:f>
              <c:strCache>
                <c:ptCount val="1"/>
                <c:pt idx="0">
                  <c:v>Waiting</c:v>
                </c:pt>
              </c:strCache>
            </c:strRef>
          </c:tx>
          <c:spPr>
            <a:solidFill>
              <a:srgbClr val="800000"/>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Calcul'!$Q$49:$S$49</c:f>
              <c:numCache>
                <c:formatCode>General</c:formatCode>
                <c:ptCount val="3"/>
                <c:pt idx="2" formatCode="0.0%">
                  <c:v>0.1504424778761056</c:v>
                </c:pt>
              </c:numCache>
            </c:numRef>
          </c:val>
          <c:extLst>
            <c:ext xmlns:c16="http://schemas.microsoft.com/office/drawing/2014/chart" uri="{C3380CC4-5D6E-409C-BE32-E72D297353CC}">
              <c16:uniqueId val="{00000018-CADF-44BF-8586-5CD9BBAC4CF0}"/>
            </c:ext>
          </c:extLst>
        </c:ser>
        <c:ser>
          <c:idx val="14"/>
          <c:order val="14"/>
          <c:tx>
            <c:strRef>
              <c:f>'Categories Calcul'!$O$50</c:f>
              <c:strCache>
                <c:ptCount val="1"/>
                <c:pt idx="0">
                  <c:v>Rework</c:v>
                </c:pt>
              </c:strCache>
            </c:strRef>
          </c:tx>
          <c:spPr>
            <a:solidFill>
              <a:srgbClr val="008080"/>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Calcul'!$Q$50:$S$50</c:f>
              <c:numCache>
                <c:formatCode>General</c:formatCode>
                <c:ptCount val="3"/>
                <c:pt idx="2" formatCode="0.0%">
                  <c:v>0.146017699115044</c:v>
                </c:pt>
              </c:numCache>
            </c:numRef>
          </c:val>
          <c:extLst>
            <c:ext xmlns:c16="http://schemas.microsoft.com/office/drawing/2014/chart" uri="{C3380CC4-5D6E-409C-BE32-E72D297353CC}">
              <c16:uniqueId val="{0000001A-CADF-44BF-8586-5CD9BBAC4CF0}"/>
            </c:ext>
          </c:extLst>
        </c:ser>
        <c:ser>
          <c:idx val="15"/>
          <c:order val="15"/>
          <c:tx>
            <c:strRef>
              <c:f>'Categories Calcul'!$O$51</c:f>
              <c:strCache>
                <c:ptCount val="1"/>
                <c:pt idx="0">
                  <c:v>Extended break</c:v>
                </c:pt>
              </c:strCache>
            </c:strRef>
          </c:tx>
          <c:spPr>
            <a:solidFill>
              <a:srgbClr val="0000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Calcul'!$Q$51:$S$51</c:f>
              <c:numCache>
                <c:formatCode>General</c:formatCode>
                <c:ptCount val="3"/>
                <c:pt idx="2" formatCode="0.0%">
                  <c:v>0.13716814159292121</c:v>
                </c:pt>
              </c:numCache>
            </c:numRef>
          </c:val>
          <c:extLst>
            <c:ext xmlns:c16="http://schemas.microsoft.com/office/drawing/2014/chart" uri="{C3380CC4-5D6E-409C-BE32-E72D297353CC}">
              <c16:uniqueId val="{0000001C-CADF-44BF-8586-5CD9BBAC4CF0}"/>
            </c:ext>
          </c:extLst>
        </c:ser>
        <c:ser>
          <c:idx val="16"/>
          <c:order val="16"/>
          <c:tx>
            <c:strRef>
              <c:f>'Categories Calcul'!$O$52</c:f>
              <c:strCache>
                <c:ptCount val="1"/>
                <c:pt idx="0">
                  <c:v>Travel</c:v>
                </c:pt>
              </c:strCache>
            </c:strRef>
          </c:tx>
          <c:spPr>
            <a:solidFill>
              <a:srgbClr val="00CC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Calcul'!$Q$52:$S$52</c:f>
              <c:numCache>
                <c:formatCode>General</c:formatCode>
                <c:ptCount val="3"/>
                <c:pt idx="2" formatCode="0.0%">
                  <c:v>0.11504424778761051</c:v>
                </c:pt>
              </c:numCache>
            </c:numRef>
          </c:val>
          <c:extLst>
            <c:ext xmlns:c16="http://schemas.microsoft.com/office/drawing/2014/chart" uri="{C3380CC4-5D6E-409C-BE32-E72D297353CC}">
              <c16:uniqueId val="{0000001E-CADF-44BF-8586-5CD9BBAC4CF0}"/>
            </c:ext>
          </c:extLst>
        </c:ser>
        <c:ser>
          <c:idx val="17"/>
          <c:order val="17"/>
          <c:tx>
            <c:strRef>
              <c:f>'Categories Calcul'!$O$53</c:f>
              <c:strCache>
                <c:ptCount val="1"/>
                <c:pt idx="0">
                  <c:v>Excessive Calling/alerting</c:v>
                </c:pt>
              </c:strCache>
            </c:strRef>
          </c:tx>
          <c:spPr>
            <a:solidFill>
              <a:srgbClr val="CCFF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Calcul'!$Q$53:$S$53</c:f>
              <c:numCache>
                <c:formatCode>General</c:formatCode>
                <c:ptCount val="3"/>
                <c:pt idx="2" formatCode="0.0%">
                  <c:v>9.7345132743362789E-2</c:v>
                </c:pt>
              </c:numCache>
            </c:numRef>
          </c:val>
          <c:extLst>
            <c:ext xmlns:c16="http://schemas.microsoft.com/office/drawing/2014/chart" uri="{C3380CC4-5D6E-409C-BE32-E72D297353CC}">
              <c16:uniqueId val="{00000020-CADF-44BF-8586-5CD9BBAC4CF0}"/>
            </c:ext>
          </c:extLst>
        </c:ser>
        <c:ser>
          <c:idx val="18"/>
          <c:order val="18"/>
          <c:tx>
            <c:strRef>
              <c:f>'Categories Calcul'!$O$54</c:f>
              <c:strCache>
                <c:ptCount val="1"/>
                <c:pt idx="0">
                  <c:v>Administrative tasks/keing reporting data</c:v>
                </c:pt>
              </c:strCache>
            </c:strRef>
          </c:tx>
          <c:spPr>
            <a:solidFill>
              <a:srgbClr val="CCFFCC"/>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Calcul'!$Q$54:$S$54</c:f>
              <c:numCache>
                <c:formatCode>General</c:formatCode>
                <c:ptCount val="3"/>
                <c:pt idx="2" formatCode="0.0%">
                  <c:v>8.4070796460177177E-2</c:v>
                </c:pt>
              </c:numCache>
            </c:numRef>
          </c:val>
          <c:extLst>
            <c:ext xmlns:c16="http://schemas.microsoft.com/office/drawing/2014/chart" uri="{C3380CC4-5D6E-409C-BE32-E72D297353CC}">
              <c16:uniqueId val="{00000022-CADF-44BF-8586-5CD9BBAC4CF0}"/>
            </c:ext>
          </c:extLst>
        </c:ser>
        <c:ser>
          <c:idx val="19"/>
          <c:order val="19"/>
          <c:tx>
            <c:strRef>
              <c:f>'Categories Calcul'!$O$55</c:f>
              <c:strCache>
                <c:ptCount val="1"/>
                <c:pt idx="0">
                  <c:v>Non active meetings</c:v>
                </c:pt>
              </c:strCache>
            </c:strRef>
          </c:tx>
          <c:spPr>
            <a:solidFill>
              <a:srgbClr val="FFFF99"/>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Calcul'!$Q$55:$S$55</c:f>
              <c:numCache>
                <c:formatCode>General</c:formatCode>
                <c:ptCount val="3"/>
                <c:pt idx="2" formatCode="0.0%">
                  <c:v>7.5221238938053145E-2</c:v>
                </c:pt>
              </c:numCache>
            </c:numRef>
          </c:val>
          <c:extLst>
            <c:ext xmlns:c16="http://schemas.microsoft.com/office/drawing/2014/chart" uri="{C3380CC4-5D6E-409C-BE32-E72D297353CC}">
              <c16:uniqueId val="{00000024-CADF-44BF-8586-5CD9BBAC4CF0}"/>
            </c:ext>
          </c:extLst>
        </c:ser>
        <c:ser>
          <c:idx val="20"/>
          <c:order val="20"/>
          <c:tx>
            <c:strRef>
              <c:f>'Categories Calcul'!$O$56</c:f>
              <c:strCache>
                <c:ptCount val="1"/>
                <c:pt idx="0">
                  <c:v>Training</c:v>
                </c:pt>
              </c:strCache>
            </c:strRef>
          </c:tx>
          <c:spPr>
            <a:solidFill>
              <a:srgbClr val="99CC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Calcul'!$Q$56:$S$56</c:f>
              <c:numCache>
                <c:formatCode>General</c:formatCode>
                <c:ptCount val="3"/>
                <c:pt idx="2" formatCode="0.0%">
                  <c:v>3.0973451327433857E-2</c:v>
                </c:pt>
              </c:numCache>
            </c:numRef>
          </c:val>
          <c:extLst>
            <c:ext xmlns:c16="http://schemas.microsoft.com/office/drawing/2014/chart" uri="{C3380CC4-5D6E-409C-BE32-E72D297353CC}">
              <c16:uniqueId val="{00000026-CADF-44BF-8586-5CD9BBAC4CF0}"/>
            </c:ext>
          </c:extLst>
        </c:ser>
        <c:ser>
          <c:idx val="21"/>
          <c:order val="21"/>
          <c:tx>
            <c:strRef>
              <c:f>'Categories Calcul'!$O$57</c:f>
              <c:strCache>
                <c:ptCount val="1"/>
              </c:strCache>
            </c:strRef>
          </c:tx>
          <c:spPr>
            <a:solidFill>
              <a:srgbClr val="FF99CC"/>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7-CADF-44BF-8586-5CD9BBAC4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Calcul'!$Q$35:$S$35</c:f>
              <c:strCache>
                <c:ptCount val="3"/>
                <c:pt idx="0">
                  <c:v>VA</c:v>
                </c:pt>
                <c:pt idx="1">
                  <c:v>VA/NVA</c:v>
                </c:pt>
                <c:pt idx="2">
                  <c:v>NVA</c:v>
                </c:pt>
              </c:strCache>
            </c:strRef>
          </c:cat>
          <c:val>
            <c:numRef>
              <c:f>'Categories Calcul'!$Q$57:$S$57</c:f>
              <c:numCache>
                <c:formatCode>General</c:formatCode>
                <c:ptCount val="3"/>
                <c:pt idx="2" formatCode="0.0%">
                  <c:v>4.4247787610619286E-3</c:v>
                </c:pt>
              </c:numCache>
            </c:numRef>
          </c:val>
          <c:extLst>
            <c:ext xmlns:c16="http://schemas.microsoft.com/office/drawing/2014/chart" uri="{C3380CC4-5D6E-409C-BE32-E72D297353CC}">
              <c16:uniqueId val="{00000028-CADF-44BF-8586-5CD9BBAC4CF0}"/>
            </c:ext>
          </c:extLst>
        </c:ser>
        <c:dLbls>
          <c:showLegendKey val="0"/>
          <c:showVal val="0"/>
          <c:showCatName val="0"/>
          <c:showSerName val="0"/>
          <c:showPercent val="0"/>
          <c:showBubbleSize val="0"/>
        </c:dLbls>
        <c:gapWidth val="30"/>
        <c:overlap val="100"/>
        <c:axId val="593700431"/>
        <c:axId val="1"/>
      </c:barChart>
      <c:catAx>
        <c:axId val="593700431"/>
        <c:scaling>
          <c:orientation val="minMax"/>
        </c:scaling>
        <c:delete val="0"/>
        <c:axPos val="b"/>
        <c:numFmt formatCode="General" sourceLinked="1"/>
        <c:majorTickMark val="out"/>
        <c:minorTickMark val="none"/>
        <c:tickLblPos val="nextTo"/>
        <c:spPr>
          <a:ln w="6350">
            <a:noFill/>
          </a:ln>
        </c:spPr>
        <c:txPr>
          <a:bodyPr rot="0" vert="horz"/>
          <a:lstStyle/>
          <a:p>
            <a:pPr>
              <a:defRPr sz="14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93700431"/>
        <c:crosses val="autoZero"/>
        <c:crossBetween val="between"/>
      </c:valAx>
      <c:spPr>
        <a:noFill/>
        <a:ln w="25400">
          <a:noFill/>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6330338631652E-2"/>
          <c:y val="0.12485811577752554"/>
          <c:w val="0.89149965445749824"/>
          <c:h val="0.78433598183881947"/>
        </c:manualLayout>
      </c:layout>
      <c:barChart>
        <c:barDir val="col"/>
        <c:grouping val="percentStacked"/>
        <c:varyColors val="0"/>
        <c:ser>
          <c:idx val="0"/>
          <c:order val="0"/>
          <c:tx>
            <c:strRef>
              <c:f>'Categories Calcul'!$O$36</c:f>
              <c:strCache>
                <c:ptCount val="1"/>
                <c:pt idx="0">
                  <c:v>Auto maintenance/1st level diagnosis</c:v>
                </c:pt>
              </c:strCache>
            </c:strRef>
          </c:tx>
          <c:spPr>
            <a:solidFill>
              <a:srgbClr val="9999FF"/>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Calcul'!$R$36:$S$36</c:f>
              <c:numCache>
                <c:formatCode>General</c:formatCode>
                <c:ptCount val="2"/>
              </c:numCache>
            </c:numRef>
          </c:val>
          <c:extLst>
            <c:ext xmlns:c16="http://schemas.microsoft.com/office/drawing/2014/chart" uri="{C3380CC4-5D6E-409C-BE32-E72D297353CC}">
              <c16:uniqueId val="{00000001-50D6-48D9-91EB-BD9E5F21E09D}"/>
            </c:ext>
          </c:extLst>
        </c:ser>
        <c:ser>
          <c:idx val="1"/>
          <c:order val="1"/>
          <c:tx>
            <c:strRef>
              <c:f>'Categories Calcul'!$O$37</c:f>
              <c:strCache>
                <c:ptCount val="1"/>
                <c:pt idx="0">
                  <c:v>Operating tasks</c:v>
                </c:pt>
              </c:strCache>
            </c:strRef>
          </c:tx>
          <c:spPr>
            <a:solidFill>
              <a:srgbClr val="993366"/>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Calcul'!$R$37:$S$37</c:f>
              <c:numCache>
                <c:formatCode>General</c:formatCode>
                <c:ptCount val="2"/>
              </c:numCache>
            </c:numRef>
          </c:val>
          <c:extLst>
            <c:ext xmlns:c16="http://schemas.microsoft.com/office/drawing/2014/chart" uri="{C3380CC4-5D6E-409C-BE32-E72D297353CC}">
              <c16:uniqueId val="{00000003-50D6-48D9-91EB-BD9E5F21E09D}"/>
            </c:ext>
          </c:extLst>
        </c:ser>
        <c:ser>
          <c:idx val="2"/>
          <c:order val="2"/>
          <c:tx>
            <c:strRef>
              <c:f>'Categories Calcul'!$O$38</c:f>
              <c:strCache>
                <c:ptCount val="1"/>
                <c:pt idx="0">
                  <c:v>Preparation and security</c:v>
                </c:pt>
              </c:strCache>
            </c:strRef>
          </c:tx>
          <c:spPr>
            <a:solidFill>
              <a:srgbClr val="FFFFCC"/>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Calcul'!$R$38:$S$38</c:f>
              <c:numCache>
                <c:formatCode>General</c:formatCode>
                <c:ptCount val="2"/>
              </c:numCache>
            </c:numRef>
          </c:val>
          <c:extLst>
            <c:ext xmlns:c16="http://schemas.microsoft.com/office/drawing/2014/chart" uri="{C3380CC4-5D6E-409C-BE32-E72D297353CC}">
              <c16:uniqueId val="{00000005-50D6-48D9-91EB-BD9E5F21E09D}"/>
            </c:ext>
          </c:extLst>
        </c:ser>
        <c:ser>
          <c:idx val="3"/>
          <c:order val="3"/>
          <c:tx>
            <c:strRef>
              <c:f>'Categories Calcul'!$O$39</c:f>
              <c:strCache>
                <c:ptCount val="1"/>
                <c:pt idx="0">
                  <c:v>Active meetings/workshops</c:v>
                </c:pt>
              </c:strCache>
            </c:strRef>
          </c:tx>
          <c:spPr>
            <a:solidFill>
              <a:srgbClr val="CCFFFF"/>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Calcul'!$R$39:$S$39</c:f>
              <c:numCache>
                <c:formatCode>General</c:formatCode>
                <c:ptCount val="2"/>
              </c:numCache>
            </c:numRef>
          </c:val>
          <c:extLst>
            <c:ext xmlns:c16="http://schemas.microsoft.com/office/drawing/2014/chart" uri="{C3380CC4-5D6E-409C-BE32-E72D297353CC}">
              <c16:uniqueId val="{00000007-50D6-48D9-91EB-BD9E5F21E09D}"/>
            </c:ext>
          </c:extLst>
        </c:ser>
        <c:ser>
          <c:idx val="4"/>
          <c:order val="4"/>
          <c:tx>
            <c:strRef>
              <c:f>'Categories Calcul'!$O$40</c:f>
              <c:strCache>
                <c:ptCount val="1"/>
                <c:pt idx="0">
                  <c:v>Equipment test and tune up</c:v>
                </c:pt>
              </c:strCache>
            </c:strRef>
          </c:tx>
          <c:spPr>
            <a:solidFill>
              <a:srgbClr val="660066"/>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Calcul'!$R$40:$S$40</c:f>
              <c:numCache>
                <c:formatCode>General</c:formatCode>
                <c:ptCount val="2"/>
              </c:numCache>
            </c:numRef>
          </c:val>
          <c:extLst>
            <c:ext xmlns:c16="http://schemas.microsoft.com/office/drawing/2014/chart" uri="{C3380CC4-5D6E-409C-BE32-E72D297353CC}">
              <c16:uniqueId val="{00000009-50D6-48D9-91EB-BD9E5F21E09D}"/>
            </c:ext>
          </c:extLst>
        </c:ser>
        <c:ser>
          <c:idx val="5"/>
          <c:order val="5"/>
          <c:tx>
            <c:strRef>
              <c:f>'Categories Calcul'!$O$41</c:f>
              <c:strCache>
                <c:ptCount val="1"/>
                <c:pt idx="0">
                  <c:v>Quality test</c:v>
                </c:pt>
              </c:strCache>
            </c:strRef>
          </c:tx>
          <c:spPr>
            <a:solidFill>
              <a:srgbClr val="FF8080"/>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Calcul'!$R$41:$S$41</c:f>
              <c:numCache>
                <c:formatCode>General</c:formatCode>
                <c:ptCount val="2"/>
              </c:numCache>
            </c:numRef>
          </c:val>
          <c:extLst>
            <c:ext xmlns:c16="http://schemas.microsoft.com/office/drawing/2014/chart" uri="{C3380CC4-5D6E-409C-BE32-E72D297353CC}">
              <c16:uniqueId val="{0000000B-50D6-48D9-91EB-BD9E5F21E09D}"/>
            </c:ext>
          </c:extLst>
        </c:ser>
        <c:ser>
          <c:idx val="6"/>
          <c:order val="6"/>
          <c:tx>
            <c:strRef>
              <c:f>'Categories Calcul'!$O$42</c:f>
              <c:strCache>
                <c:ptCount val="1"/>
                <c:pt idx="0">
                  <c:v>Cleaning</c:v>
                </c:pt>
              </c:strCache>
            </c:strRef>
          </c:tx>
          <c:spPr>
            <a:solidFill>
              <a:srgbClr val="0066CC"/>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Calcul'!$R$42:$S$42</c:f>
              <c:numCache>
                <c:formatCode>General</c:formatCode>
                <c:ptCount val="2"/>
              </c:numCache>
            </c:numRef>
          </c:val>
          <c:extLst>
            <c:ext xmlns:c16="http://schemas.microsoft.com/office/drawing/2014/chart" uri="{C3380CC4-5D6E-409C-BE32-E72D297353CC}">
              <c16:uniqueId val="{0000000D-50D6-48D9-91EB-BD9E5F21E09D}"/>
            </c:ext>
          </c:extLst>
        </c:ser>
        <c:ser>
          <c:idx val="7"/>
          <c:order val="7"/>
          <c:tx>
            <c:strRef>
              <c:f>'Categories Calcul'!$O$43</c:f>
              <c:strCache>
                <c:ptCount val="1"/>
                <c:pt idx="0">
                  <c:v>Equipment control</c:v>
                </c:pt>
              </c:strCache>
            </c:strRef>
          </c:tx>
          <c:spPr>
            <a:solidFill>
              <a:srgbClr val="CCCCFF"/>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Calcul'!$R$43:$S$43</c:f>
              <c:numCache>
                <c:formatCode>General</c:formatCode>
                <c:ptCount val="2"/>
              </c:numCache>
            </c:numRef>
          </c:val>
          <c:extLst>
            <c:ext xmlns:c16="http://schemas.microsoft.com/office/drawing/2014/chart" uri="{C3380CC4-5D6E-409C-BE32-E72D297353CC}">
              <c16:uniqueId val="{0000000F-50D6-48D9-91EB-BD9E5F21E09D}"/>
            </c:ext>
          </c:extLst>
        </c:ser>
        <c:ser>
          <c:idx val="8"/>
          <c:order val="8"/>
          <c:tx>
            <c:strRef>
              <c:f>'Categories Calcul'!$O$44</c:f>
              <c:strCache>
                <c:ptCount val="1"/>
                <c:pt idx="0">
                  <c:v>Calling/alerting for issues</c:v>
                </c:pt>
              </c:strCache>
            </c:strRef>
          </c:tx>
          <c:spPr>
            <a:solidFill>
              <a:srgbClr val="000080"/>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Calcul'!$R$44:$S$44</c:f>
              <c:numCache>
                <c:formatCode>General</c:formatCode>
                <c:ptCount val="2"/>
              </c:numCache>
            </c:numRef>
          </c:val>
          <c:extLst>
            <c:ext xmlns:c16="http://schemas.microsoft.com/office/drawing/2014/chart" uri="{C3380CC4-5D6E-409C-BE32-E72D297353CC}">
              <c16:uniqueId val="{00000010-50D6-48D9-91EB-BD9E5F21E09D}"/>
            </c:ext>
          </c:extLst>
        </c:ser>
        <c:ser>
          <c:idx val="9"/>
          <c:order val="9"/>
          <c:tx>
            <c:strRef>
              <c:f>'Categories Calcul'!$O$45</c:f>
              <c:strCache>
                <c:ptCount val="1"/>
              </c:strCache>
            </c:strRef>
          </c:tx>
          <c:spPr>
            <a:solidFill>
              <a:srgbClr val="FF00FF"/>
            </a:solidFill>
            <a:ln w="12700">
              <a:solidFill>
                <a:srgbClr val="000000"/>
              </a:solidFill>
              <a:prstDash val="solid"/>
            </a:ln>
          </c:spPr>
          <c:invertIfNegative val="0"/>
          <c:cat>
            <c:strRef>
              <c:f>'Categories Calcul'!$R$35:$S$35</c:f>
              <c:strCache>
                <c:ptCount val="2"/>
                <c:pt idx="0">
                  <c:v>VA/NVA</c:v>
                </c:pt>
                <c:pt idx="1">
                  <c:v>NVA</c:v>
                </c:pt>
              </c:strCache>
            </c:strRef>
          </c:cat>
          <c:val>
            <c:numRef>
              <c:f>'Categories Calcul'!$R$45:$S$45</c:f>
              <c:numCache>
                <c:formatCode>General</c:formatCode>
                <c:ptCount val="2"/>
              </c:numCache>
            </c:numRef>
          </c:val>
          <c:extLst>
            <c:ext xmlns:c16="http://schemas.microsoft.com/office/drawing/2014/chart" uri="{C3380CC4-5D6E-409C-BE32-E72D297353CC}">
              <c16:uniqueId val="{00000011-50D6-48D9-91EB-BD9E5F21E09D}"/>
            </c:ext>
          </c:extLst>
        </c:ser>
        <c:ser>
          <c:idx val="10"/>
          <c:order val="10"/>
          <c:tx>
            <c:strRef>
              <c:f>'Categories Calcul'!$O$46</c:f>
              <c:strCache>
                <c:ptCount val="1"/>
                <c:pt idx="0">
                  <c:v>VA</c:v>
                </c:pt>
              </c:strCache>
            </c:strRef>
          </c:tx>
          <c:spPr>
            <a:solidFill>
              <a:srgbClr val="00FF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Calcul'!$R$46:$S$46</c:f>
              <c:numCache>
                <c:formatCode>General</c:formatCode>
                <c:ptCount val="2"/>
                <c:pt idx="0" formatCode="0.0%">
                  <c:v>0.52916666666666634</c:v>
                </c:pt>
              </c:numCache>
            </c:numRef>
          </c:val>
          <c:extLst>
            <c:ext xmlns:c16="http://schemas.microsoft.com/office/drawing/2014/chart" uri="{C3380CC4-5D6E-409C-BE32-E72D297353CC}">
              <c16:uniqueId val="{00000012-50D6-48D9-91EB-BD9E5F21E09D}"/>
            </c:ext>
          </c:extLst>
        </c:ser>
        <c:ser>
          <c:idx val="11"/>
          <c:order val="11"/>
          <c:tx>
            <c:strRef>
              <c:f>'Categories Calcul'!$O$47</c:f>
              <c:strCache>
                <c:ptCount val="1"/>
                <c:pt idx="0">
                  <c:v>NVA</c:v>
                </c:pt>
              </c:strCache>
            </c:strRef>
          </c:tx>
          <c:spPr>
            <a:solidFill>
              <a:srgbClr val="FF00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Calcul'!$R$47:$S$47</c:f>
              <c:numCache>
                <c:formatCode>General</c:formatCode>
                <c:ptCount val="2"/>
                <c:pt idx="0" formatCode="0.0%">
                  <c:v>0.47083333333333355</c:v>
                </c:pt>
              </c:numCache>
            </c:numRef>
          </c:val>
          <c:extLst>
            <c:ext xmlns:c16="http://schemas.microsoft.com/office/drawing/2014/chart" uri="{C3380CC4-5D6E-409C-BE32-E72D297353CC}">
              <c16:uniqueId val="{00000013-50D6-48D9-91EB-BD9E5F21E09D}"/>
            </c:ext>
          </c:extLst>
        </c:ser>
        <c:ser>
          <c:idx val="12"/>
          <c:order val="12"/>
          <c:tx>
            <c:strRef>
              <c:f>'Categories Calcul'!$O$48</c:f>
              <c:strCache>
                <c:ptCount val="1"/>
                <c:pt idx="0">
                  <c:v>Available</c:v>
                </c:pt>
              </c:strCache>
            </c:strRef>
          </c:tx>
          <c:spPr>
            <a:solidFill>
              <a:srgbClr val="800080"/>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50D6-48D9-91EB-BD9E5F21E09D}"/>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Calcul'!$R$48:$S$48</c:f>
              <c:numCache>
                <c:formatCode>0.0%</c:formatCode>
                <c:ptCount val="2"/>
                <c:pt idx="1">
                  <c:v>0.15929203539822978</c:v>
                </c:pt>
              </c:numCache>
            </c:numRef>
          </c:val>
          <c:extLst>
            <c:ext xmlns:c16="http://schemas.microsoft.com/office/drawing/2014/chart" uri="{C3380CC4-5D6E-409C-BE32-E72D297353CC}">
              <c16:uniqueId val="{00000016-50D6-48D9-91EB-BD9E5F21E09D}"/>
            </c:ext>
          </c:extLst>
        </c:ser>
        <c:ser>
          <c:idx val="13"/>
          <c:order val="13"/>
          <c:tx>
            <c:strRef>
              <c:f>'Categories Calcul'!$O$49</c:f>
              <c:strCache>
                <c:ptCount val="1"/>
                <c:pt idx="0">
                  <c:v>Waiting</c:v>
                </c:pt>
              </c:strCache>
            </c:strRef>
          </c:tx>
          <c:spPr>
            <a:solidFill>
              <a:srgbClr val="800000"/>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50D6-48D9-91EB-BD9E5F21E09D}"/>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Calcul'!$R$49:$S$49</c:f>
              <c:numCache>
                <c:formatCode>0.0%</c:formatCode>
                <c:ptCount val="2"/>
                <c:pt idx="1">
                  <c:v>0.1504424778761056</c:v>
                </c:pt>
              </c:numCache>
            </c:numRef>
          </c:val>
          <c:extLst>
            <c:ext xmlns:c16="http://schemas.microsoft.com/office/drawing/2014/chart" uri="{C3380CC4-5D6E-409C-BE32-E72D297353CC}">
              <c16:uniqueId val="{00000019-50D6-48D9-91EB-BD9E5F21E09D}"/>
            </c:ext>
          </c:extLst>
        </c:ser>
        <c:ser>
          <c:idx val="14"/>
          <c:order val="14"/>
          <c:tx>
            <c:strRef>
              <c:f>'Categories Calcul'!$O$50</c:f>
              <c:strCache>
                <c:ptCount val="1"/>
                <c:pt idx="0">
                  <c:v>Rework</c:v>
                </c:pt>
              </c:strCache>
            </c:strRef>
          </c:tx>
          <c:spPr>
            <a:solidFill>
              <a:srgbClr val="008080"/>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50D6-48D9-91EB-BD9E5F21E09D}"/>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Calcul'!$R$50:$S$50</c:f>
              <c:numCache>
                <c:formatCode>0.0%</c:formatCode>
                <c:ptCount val="2"/>
                <c:pt idx="1">
                  <c:v>0.146017699115044</c:v>
                </c:pt>
              </c:numCache>
            </c:numRef>
          </c:val>
          <c:extLst>
            <c:ext xmlns:c16="http://schemas.microsoft.com/office/drawing/2014/chart" uri="{C3380CC4-5D6E-409C-BE32-E72D297353CC}">
              <c16:uniqueId val="{0000001C-50D6-48D9-91EB-BD9E5F21E09D}"/>
            </c:ext>
          </c:extLst>
        </c:ser>
        <c:ser>
          <c:idx val="15"/>
          <c:order val="15"/>
          <c:tx>
            <c:strRef>
              <c:f>'Categories Calcul'!$O$51</c:f>
              <c:strCache>
                <c:ptCount val="1"/>
                <c:pt idx="0">
                  <c:v>Extended break</c:v>
                </c:pt>
              </c:strCache>
            </c:strRef>
          </c:tx>
          <c:spPr>
            <a:solidFill>
              <a:srgbClr val="0000FF"/>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50D6-48D9-91EB-BD9E5F21E09D}"/>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Calcul'!$R$51:$S$51</c:f>
              <c:numCache>
                <c:formatCode>0.0%</c:formatCode>
                <c:ptCount val="2"/>
                <c:pt idx="1">
                  <c:v>0.13716814159292121</c:v>
                </c:pt>
              </c:numCache>
            </c:numRef>
          </c:val>
          <c:extLst>
            <c:ext xmlns:c16="http://schemas.microsoft.com/office/drawing/2014/chart" uri="{C3380CC4-5D6E-409C-BE32-E72D297353CC}">
              <c16:uniqueId val="{0000001F-50D6-48D9-91EB-BD9E5F21E09D}"/>
            </c:ext>
          </c:extLst>
        </c:ser>
        <c:ser>
          <c:idx val="16"/>
          <c:order val="16"/>
          <c:tx>
            <c:strRef>
              <c:f>'Categories Calcul'!$O$52</c:f>
              <c:strCache>
                <c:ptCount val="1"/>
                <c:pt idx="0">
                  <c:v>Travel</c:v>
                </c:pt>
              </c:strCache>
            </c:strRef>
          </c:tx>
          <c:spPr>
            <a:solidFill>
              <a:srgbClr val="00CCFF"/>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Calcul'!$R$52:$S$52</c:f>
              <c:numCache>
                <c:formatCode>0.0%</c:formatCode>
                <c:ptCount val="2"/>
                <c:pt idx="1">
                  <c:v>0.11504424778761051</c:v>
                </c:pt>
              </c:numCache>
            </c:numRef>
          </c:val>
          <c:extLst>
            <c:ext xmlns:c16="http://schemas.microsoft.com/office/drawing/2014/chart" uri="{C3380CC4-5D6E-409C-BE32-E72D297353CC}">
              <c16:uniqueId val="{00000021-50D6-48D9-91EB-BD9E5F21E09D}"/>
            </c:ext>
          </c:extLst>
        </c:ser>
        <c:ser>
          <c:idx val="17"/>
          <c:order val="17"/>
          <c:tx>
            <c:strRef>
              <c:f>'Categories Calcul'!$O$53</c:f>
              <c:strCache>
                <c:ptCount val="1"/>
                <c:pt idx="0">
                  <c:v>Excessive Calling/alerting</c:v>
                </c:pt>
              </c:strCache>
            </c:strRef>
          </c:tx>
          <c:spPr>
            <a:solidFill>
              <a:srgbClr val="CCFFFF"/>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50D6-48D9-91EB-BD9E5F21E09D}"/>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Calcul'!$R$53:$S$53</c:f>
              <c:numCache>
                <c:formatCode>0.0%</c:formatCode>
                <c:ptCount val="2"/>
                <c:pt idx="1">
                  <c:v>9.7345132743362789E-2</c:v>
                </c:pt>
              </c:numCache>
            </c:numRef>
          </c:val>
          <c:extLst>
            <c:ext xmlns:c16="http://schemas.microsoft.com/office/drawing/2014/chart" uri="{C3380CC4-5D6E-409C-BE32-E72D297353CC}">
              <c16:uniqueId val="{00000024-50D6-48D9-91EB-BD9E5F21E09D}"/>
            </c:ext>
          </c:extLst>
        </c:ser>
        <c:ser>
          <c:idx val="18"/>
          <c:order val="18"/>
          <c:tx>
            <c:strRef>
              <c:f>'Categories Calcul'!$O$54</c:f>
              <c:strCache>
                <c:ptCount val="1"/>
                <c:pt idx="0">
                  <c:v>Administrative tasks/keing reporting data</c:v>
                </c:pt>
              </c:strCache>
            </c:strRef>
          </c:tx>
          <c:spPr>
            <a:solidFill>
              <a:srgbClr val="CCFFCC"/>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50D6-48D9-91EB-BD9E5F21E09D}"/>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Calcul'!$R$54:$S$54</c:f>
              <c:numCache>
                <c:formatCode>0.0%</c:formatCode>
                <c:ptCount val="2"/>
                <c:pt idx="1">
                  <c:v>8.4070796460177177E-2</c:v>
                </c:pt>
              </c:numCache>
            </c:numRef>
          </c:val>
          <c:extLst>
            <c:ext xmlns:c16="http://schemas.microsoft.com/office/drawing/2014/chart" uri="{C3380CC4-5D6E-409C-BE32-E72D297353CC}">
              <c16:uniqueId val="{00000027-50D6-48D9-91EB-BD9E5F21E09D}"/>
            </c:ext>
          </c:extLst>
        </c:ser>
        <c:ser>
          <c:idx val="19"/>
          <c:order val="19"/>
          <c:tx>
            <c:strRef>
              <c:f>'Categories Calcul'!$O$55</c:f>
              <c:strCache>
                <c:ptCount val="1"/>
                <c:pt idx="0">
                  <c:v>Non active meetings</c:v>
                </c:pt>
              </c:strCache>
            </c:strRef>
          </c:tx>
          <c:spPr>
            <a:solidFill>
              <a:srgbClr val="FFFF99"/>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50D6-48D9-91EB-BD9E5F21E09D}"/>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Calcul'!$R$55:$S$55</c:f>
              <c:numCache>
                <c:formatCode>0.0%</c:formatCode>
                <c:ptCount val="2"/>
                <c:pt idx="1">
                  <c:v>7.5221238938053145E-2</c:v>
                </c:pt>
              </c:numCache>
            </c:numRef>
          </c:val>
          <c:extLst>
            <c:ext xmlns:c16="http://schemas.microsoft.com/office/drawing/2014/chart" uri="{C3380CC4-5D6E-409C-BE32-E72D297353CC}">
              <c16:uniqueId val="{0000002A-50D6-48D9-91EB-BD9E5F21E09D}"/>
            </c:ext>
          </c:extLst>
        </c:ser>
        <c:ser>
          <c:idx val="20"/>
          <c:order val="20"/>
          <c:tx>
            <c:strRef>
              <c:f>'Categories Calcul'!$O$56</c:f>
              <c:strCache>
                <c:ptCount val="1"/>
                <c:pt idx="0">
                  <c:v>Training</c:v>
                </c:pt>
              </c:strCache>
            </c:strRef>
          </c:tx>
          <c:spPr>
            <a:solidFill>
              <a:srgbClr val="99CCFF"/>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B-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Calcul'!$R$56:$S$56</c:f>
              <c:numCache>
                <c:formatCode>0.0%</c:formatCode>
                <c:ptCount val="2"/>
                <c:pt idx="1">
                  <c:v>3.0973451327433857E-2</c:v>
                </c:pt>
              </c:numCache>
            </c:numRef>
          </c:val>
          <c:extLst>
            <c:ext xmlns:c16="http://schemas.microsoft.com/office/drawing/2014/chart" uri="{C3380CC4-5D6E-409C-BE32-E72D297353CC}">
              <c16:uniqueId val="{0000002C-50D6-48D9-91EB-BD9E5F21E09D}"/>
            </c:ext>
          </c:extLst>
        </c:ser>
        <c:ser>
          <c:idx val="21"/>
          <c:order val="21"/>
          <c:tx>
            <c:strRef>
              <c:f>'Categories Calcul'!$O$57</c:f>
              <c:strCache>
                <c:ptCount val="1"/>
              </c:strCache>
            </c:strRef>
          </c:tx>
          <c:spPr>
            <a:solidFill>
              <a:srgbClr val="FF99CC"/>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50D6-48D9-91EB-BD9E5F21E0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'Categories Calcul'!$R$35:$S$35</c:f>
              <c:strCache>
                <c:ptCount val="2"/>
                <c:pt idx="0">
                  <c:v>VA/NVA</c:v>
                </c:pt>
                <c:pt idx="1">
                  <c:v>NVA</c:v>
                </c:pt>
              </c:strCache>
            </c:strRef>
          </c:cat>
          <c:val>
            <c:numRef>
              <c:f>'Categories Calcul'!$R$57:$S$57</c:f>
              <c:numCache>
                <c:formatCode>0.0%</c:formatCode>
                <c:ptCount val="2"/>
                <c:pt idx="1">
                  <c:v>4.4247787610619286E-3</c:v>
                </c:pt>
              </c:numCache>
            </c:numRef>
          </c:val>
          <c:extLst>
            <c:ext xmlns:c16="http://schemas.microsoft.com/office/drawing/2014/chart" uri="{C3380CC4-5D6E-409C-BE32-E72D297353CC}">
              <c16:uniqueId val="{0000002E-50D6-48D9-91EB-BD9E5F21E09D}"/>
            </c:ext>
          </c:extLst>
        </c:ser>
        <c:dLbls>
          <c:showLegendKey val="0"/>
          <c:showVal val="0"/>
          <c:showCatName val="0"/>
          <c:showSerName val="0"/>
          <c:showPercent val="0"/>
          <c:showBubbleSize val="0"/>
        </c:dLbls>
        <c:gapWidth val="30"/>
        <c:overlap val="100"/>
        <c:axId val="593698031"/>
        <c:axId val="1"/>
      </c:barChart>
      <c:catAx>
        <c:axId val="593698031"/>
        <c:scaling>
          <c:orientation val="minMax"/>
        </c:scaling>
        <c:delete val="0"/>
        <c:axPos val="b"/>
        <c:numFmt formatCode="General" sourceLinked="1"/>
        <c:majorTickMark val="out"/>
        <c:minorTickMark val="none"/>
        <c:tickLblPos val="nextTo"/>
        <c:spPr>
          <a:ln w="6350">
            <a:noFill/>
          </a:ln>
        </c:spPr>
        <c:txPr>
          <a:bodyPr rot="0" vert="horz"/>
          <a:lstStyle/>
          <a:p>
            <a:pPr>
              <a:defRPr sz="14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93698031"/>
        <c:crosses val="autoZero"/>
        <c:crossBetween val="between"/>
      </c:valAx>
      <c:spPr>
        <a:noFill/>
        <a:ln w="25400">
          <a:noFill/>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6330338631652E-2"/>
          <c:y val="0.12485811577752554"/>
          <c:w val="0.89149965445749824"/>
          <c:h val="0.78433598183881947"/>
        </c:manualLayout>
      </c:layout>
      <c:barChart>
        <c:barDir val="col"/>
        <c:grouping val="percentStacked"/>
        <c:varyColors val="0"/>
        <c:ser>
          <c:idx val="12"/>
          <c:order val="0"/>
          <c:tx>
            <c:strRef>
              <c:f>'Categories Calcul'!$O$48</c:f>
              <c:strCache>
                <c:ptCount val="1"/>
                <c:pt idx="0">
                  <c:v>Available</c:v>
                </c:pt>
              </c:strCache>
            </c:strRef>
          </c:tx>
          <c:spPr>
            <a:solidFill>
              <a:srgbClr val="800080"/>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0-9CCA-4B7D-AEDF-53C3E03708CF}"/>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1-9CCA-4B7D-AEDF-53C3E03708CF}"/>
                </c:ext>
              </c:extLst>
            </c:dLbl>
            <c:spPr>
              <a:noFill/>
              <a:ln w="25400">
                <a:noFill/>
              </a:ln>
            </c:spPr>
            <c:txPr>
              <a:bodyPr wrap="square" lIns="38100" tIns="19050" rIns="38100" bIns="19050" anchor="ctr">
                <a:spAutoFit/>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Calcul'!$S$48:$S$48</c:f>
              <c:numCache>
                <c:formatCode>0.0%</c:formatCode>
                <c:ptCount val="1"/>
                <c:pt idx="0">
                  <c:v>0.15929203539822978</c:v>
                </c:pt>
              </c:numCache>
            </c:numRef>
          </c:val>
          <c:extLst>
            <c:ext xmlns:c16="http://schemas.microsoft.com/office/drawing/2014/chart" uri="{C3380CC4-5D6E-409C-BE32-E72D297353CC}">
              <c16:uniqueId val="{00000002-9CCA-4B7D-AEDF-53C3E03708CF}"/>
            </c:ext>
          </c:extLst>
        </c:ser>
        <c:ser>
          <c:idx val="13"/>
          <c:order val="1"/>
          <c:tx>
            <c:strRef>
              <c:f>'Categories Calcul'!$O$49</c:f>
              <c:strCache>
                <c:ptCount val="1"/>
                <c:pt idx="0">
                  <c:v>Waiting</c:v>
                </c:pt>
              </c:strCache>
            </c:strRef>
          </c:tx>
          <c:spPr>
            <a:solidFill>
              <a:srgbClr val="800000"/>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3-9CCA-4B7D-AEDF-53C3E03708CF}"/>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4-9CCA-4B7D-AEDF-53C3E03708CF}"/>
                </c:ext>
              </c:extLst>
            </c:dLbl>
            <c:spPr>
              <a:noFill/>
              <a:ln w="25400">
                <a:noFill/>
              </a:ln>
            </c:spPr>
            <c:txPr>
              <a:bodyPr wrap="square" lIns="38100" tIns="19050" rIns="38100" bIns="19050" anchor="ctr">
                <a:spAutoFit/>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Calcul'!$S$49:$S$49</c:f>
              <c:numCache>
                <c:formatCode>0.0%</c:formatCode>
                <c:ptCount val="1"/>
                <c:pt idx="0">
                  <c:v>0.1504424778761056</c:v>
                </c:pt>
              </c:numCache>
            </c:numRef>
          </c:val>
          <c:extLst>
            <c:ext xmlns:c16="http://schemas.microsoft.com/office/drawing/2014/chart" uri="{C3380CC4-5D6E-409C-BE32-E72D297353CC}">
              <c16:uniqueId val="{00000005-9CCA-4B7D-AEDF-53C3E03708CF}"/>
            </c:ext>
          </c:extLst>
        </c:ser>
        <c:ser>
          <c:idx val="14"/>
          <c:order val="2"/>
          <c:tx>
            <c:strRef>
              <c:f>'Categories Calcul'!$O$50</c:f>
              <c:strCache>
                <c:ptCount val="1"/>
                <c:pt idx="0">
                  <c:v>Rework</c:v>
                </c:pt>
              </c:strCache>
            </c:strRef>
          </c:tx>
          <c:spPr>
            <a:solidFill>
              <a:srgbClr val="008080"/>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6-9CCA-4B7D-AEDF-53C3E03708CF}"/>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7-9CCA-4B7D-AEDF-53C3E03708CF}"/>
                </c:ext>
              </c:extLst>
            </c:dLbl>
            <c:spPr>
              <a:noFill/>
              <a:ln w="25400">
                <a:noFill/>
              </a:ln>
            </c:spPr>
            <c:txPr>
              <a:bodyPr wrap="square" lIns="38100" tIns="19050" rIns="38100" bIns="19050" anchor="ctr">
                <a:spAutoFit/>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Calcul'!$S$50:$S$50</c:f>
              <c:numCache>
                <c:formatCode>0.0%</c:formatCode>
                <c:ptCount val="1"/>
                <c:pt idx="0">
                  <c:v>0.146017699115044</c:v>
                </c:pt>
              </c:numCache>
            </c:numRef>
          </c:val>
          <c:extLst>
            <c:ext xmlns:c16="http://schemas.microsoft.com/office/drawing/2014/chart" uri="{C3380CC4-5D6E-409C-BE32-E72D297353CC}">
              <c16:uniqueId val="{00000008-9CCA-4B7D-AEDF-53C3E03708CF}"/>
            </c:ext>
          </c:extLst>
        </c:ser>
        <c:ser>
          <c:idx val="15"/>
          <c:order val="3"/>
          <c:tx>
            <c:strRef>
              <c:f>'Categories Calcul'!$O$51</c:f>
              <c:strCache>
                <c:ptCount val="1"/>
                <c:pt idx="0">
                  <c:v>Extended break</c:v>
                </c:pt>
              </c:strCache>
            </c:strRef>
          </c:tx>
          <c:spPr>
            <a:solidFill>
              <a:srgbClr val="0000FF"/>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9-9CCA-4B7D-AEDF-53C3E03708CF}"/>
                </c:ext>
              </c:extLst>
            </c:dLbl>
            <c:dLbl>
              <c:idx val="2"/>
              <c:spPr>
                <a:noFill/>
                <a:ln w="25400">
                  <a:noFill/>
                </a:ln>
              </c:spPr>
              <c:txPr>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A-9CCA-4B7D-AEDF-53C3E03708CF}"/>
                </c:ext>
              </c:extLst>
            </c:dLbl>
            <c:spPr>
              <a:noFill/>
              <a:ln w="25400">
                <a:noFill/>
              </a:ln>
            </c:spPr>
            <c:txPr>
              <a:bodyPr wrap="square" lIns="38100" tIns="19050" rIns="38100" bIns="19050" anchor="ctr">
                <a:spAutoFit/>
              </a:bodyPr>
              <a:lstStyle/>
              <a:p>
                <a:pPr>
                  <a:defRPr sz="900" b="0" i="0" u="none" strike="noStrike" baseline="0">
                    <a:solidFill>
                      <a:srgbClr val="FFFFFF"/>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Calcul'!$S$51:$S$51</c:f>
              <c:numCache>
                <c:formatCode>0.0%</c:formatCode>
                <c:ptCount val="1"/>
                <c:pt idx="0">
                  <c:v>0.13716814159292121</c:v>
                </c:pt>
              </c:numCache>
            </c:numRef>
          </c:val>
          <c:extLst>
            <c:ext xmlns:c16="http://schemas.microsoft.com/office/drawing/2014/chart" uri="{C3380CC4-5D6E-409C-BE32-E72D297353CC}">
              <c16:uniqueId val="{0000000B-9CCA-4B7D-AEDF-53C3E03708CF}"/>
            </c:ext>
          </c:extLst>
        </c:ser>
        <c:ser>
          <c:idx val="16"/>
          <c:order val="4"/>
          <c:tx>
            <c:strRef>
              <c:f>'Categories Calcul'!$O$52</c:f>
              <c:strCache>
                <c:ptCount val="1"/>
                <c:pt idx="0">
                  <c:v>Travel</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Calcul'!$S$52:$S$52</c:f>
              <c:numCache>
                <c:formatCode>0.0%</c:formatCode>
                <c:ptCount val="1"/>
                <c:pt idx="0">
                  <c:v>0.11504424778761051</c:v>
                </c:pt>
              </c:numCache>
            </c:numRef>
          </c:val>
          <c:extLst>
            <c:ext xmlns:c16="http://schemas.microsoft.com/office/drawing/2014/chart" uri="{C3380CC4-5D6E-409C-BE32-E72D297353CC}">
              <c16:uniqueId val="{0000000C-9CCA-4B7D-AEDF-53C3E03708CF}"/>
            </c:ext>
          </c:extLst>
        </c:ser>
        <c:ser>
          <c:idx val="17"/>
          <c:order val="5"/>
          <c:tx>
            <c:strRef>
              <c:f>'Categories Calcul'!$O$53</c:f>
              <c:strCache>
                <c:ptCount val="1"/>
                <c:pt idx="0">
                  <c:v>Excessive Calling/alerting</c:v>
                </c:pt>
              </c:strCache>
            </c:strRef>
          </c:tx>
          <c:spPr>
            <a:solidFill>
              <a:srgbClr val="CCFFFF"/>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D-9CCA-4B7D-AEDF-53C3E03708CF}"/>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0E-9CCA-4B7D-AEDF-53C3E03708CF}"/>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Calcul'!$S$53:$S$53</c:f>
              <c:numCache>
                <c:formatCode>0.0%</c:formatCode>
                <c:ptCount val="1"/>
                <c:pt idx="0">
                  <c:v>9.7345132743362789E-2</c:v>
                </c:pt>
              </c:numCache>
            </c:numRef>
          </c:val>
          <c:extLst>
            <c:ext xmlns:c16="http://schemas.microsoft.com/office/drawing/2014/chart" uri="{C3380CC4-5D6E-409C-BE32-E72D297353CC}">
              <c16:uniqueId val="{0000000F-9CCA-4B7D-AEDF-53C3E03708CF}"/>
            </c:ext>
          </c:extLst>
        </c:ser>
        <c:ser>
          <c:idx val="18"/>
          <c:order val="6"/>
          <c:tx>
            <c:strRef>
              <c:f>'Categories Calcul'!$O$54</c:f>
              <c:strCache>
                <c:ptCount val="1"/>
                <c:pt idx="0">
                  <c:v>Administrative tasks/keing reporting data</c:v>
                </c:pt>
              </c:strCache>
            </c:strRef>
          </c:tx>
          <c:spPr>
            <a:solidFill>
              <a:srgbClr val="CCFFCC"/>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0-9CCA-4B7D-AEDF-53C3E03708CF}"/>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1-9CCA-4B7D-AEDF-53C3E03708CF}"/>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Calcul'!$S$54:$S$54</c:f>
              <c:numCache>
                <c:formatCode>0.0%</c:formatCode>
                <c:ptCount val="1"/>
                <c:pt idx="0">
                  <c:v>8.4070796460177177E-2</c:v>
                </c:pt>
              </c:numCache>
            </c:numRef>
          </c:val>
          <c:extLst>
            <c:ext xmlns:c16="http://schemas.microsoft.com/office/drawing/2014/chart" uri="{C3380CC4-5D6E-409C-BE32-E72D297353CC}">
              <c16:uniqueId val="{00000012-9CCA-4B7D-AEDF-53C3E03708CF}"/>
            </c:ext>
          </c:extLst>
        </c:ser>
        <c:ser>
          <c:idx val="19"/>
          <c:order val="7"/>
          <c:tx>
            <c:strRef>
              <c:f>'Categories Calcul'!$O$55</c:f>
              <c:strCache>
                <c:ptCount val="1"/>
                <c:pt idx="0">
                  <c:v>Non active meetings</c:v>
                </c:pt>
              </c:strCache>
            </c:strRef>
          </c:tx>
          <c:spPr>
            <a:solidFill>
              <a:srgbClr val="FFFF99"/>
            </a:solidFill>
            <a:ln w="12700">
              <a:solidFill>
                <a:srgbClr val="000000"/>
              </a:solidFill>
              <a:prstDash val="solid"/>
            </a:ln>
          </c:spPr>
          <c:invertIfNegative val="0"/>
          <c:dLbls>
            <c:dLbl>
              <c:idx val="1"/>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3-9CCA-4B7D-AEDF-53C3E03708CF}"/>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extLst>
                <c:ext xmlns:c16="http://schemas.microsoft.com/office/drawing/2014/chart" uri="{C3380CC4-5D6E-409C-BE32-E72D297353CC}">
                  <c16:uniqueId val="{00000014-9CCA-4B7D-AEDF-53C3E03708CF}"/>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Calcul'!$S$55:$S$55</c:f>
              <c:numCache>
                <c:formatCode>0.0%</c:formatCode>
                <c:ptCount val="1"/>
                <c:pt idx="0">
                  <c:v>7.5221238938053145E-2</c:v>
                </c:pt>
              </c:numCache>
            </c:numRef>
          </c:val>
          <c:extLst>
            <c:ext xmlns:c16="http://schemas.microsoft.com/office/drawing/2014/chart" uri="{C3380CC4-5D6E-409C-BE32-E72D297353CC}">
              <c16:uniqueId val="{00000015-9CCA-4B7D-AEDF-53C3E03708CF}"/>
            </c:ext>
          </c:extLst>
        </c:ser>
        <c:ser>
          <c:idx val="20"/>
          <c:order val="8"/>
          <c:tx>
            <c:strRef>
              <c:f>'Categories Calcul'!$O$56</c:f>
              <c:strCache>
                <c:ptCount val="1"/>
                <c:pt idx="0">
                  <c:v>Training</c:v>
                </c:pt>
              </c:strCache>
            </c:strRef>
          </c:tx>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Calcul'!$S$56:$S$56</c:f>
              <c:numCache>
                <c:formatCode>0.0%</c:formatCode>
                <c:ptCount val="1"/>
                <c:pt idx="0">
                  <c:v>3.0973451327433857E-2</c:v>
                </c:pt>
              </c:numCache>
            </c:numRef>
          </c:val>
          <c:extLst>
            <c:ext xmlns:c16="http://schemas.microsoft.com/office/drawing/2014/chart" uri="{C3380CC4-5D6E-409C-BE32-E72D297353CC}">
              <c16:uniqueId val="{00000016-9CCA-4B7D-AEDF-53C3E03708CF}"/>
            </c:ext>
          </c:extLst>
        </c:ser>
        <c:ser>
          <c:idx val="21"/>
          <c:order val="9"/>
          <c:tx>
            <c:strRef>
              <c:f>'Categories Calcul'!$O$57</c:f>
              <c:strCache>
                <c:ptCount val="1"/>
              </c:strCache>
            </c:strRef>
          </c:tx>
          <c:spPr>
            <a:solidFill>
              <a:srgbClr val="FF99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'Categories Calcul'!$S$35:$S$35</c:f>
              <c:strCache>
                <c:ptCount val="1"/>
                <c:pt idx="0">
                  <c:v>NVA</c:v>
                </c:pt>
              </c:strCache>
            </c:strRef>
          </c:cat>
          <c:val>
            <c:numRef>
              <c:f>'Categories Calcul'!$S$57:$S$57</c:f>
              <c:numCache>
                <c:formatCode>0.0%</c:formatCode>
                <c:ptCount val="1"/>
                <c:pt idx="0">
                  <c:v>4.4247787610619286E-3</c:v>
                </c:pt>
              </c:numCache>
            </c:numRef>
          </c:val>
          <c:extLst>
            <c:ext xmlns:c16="http://schemas.microsoft.com/office/drawing/2014/chart" uri="{C3380CC4-5D6E-409C-BE32-E72D297353CC}">
              <c16:uniqueId val="{00000017-9CCA-4B7D-AEDF-53C3E03708CF}"/>
            </c:ext>
          </c:extLst>
        </c:ser>
        <c:dLbls>
          <c:showLegendKey val="0"/>
          <c:showVal val="0"/>
          <c:showCatName val="0"/>
          <c:showSerName val="1"/>
          <c:showPercent val="0"/>
          <c:showBubbleSize val="0"/>
        </c:dLbls>
        <c:gapWidth val="30"/>
        <c:overlap val="100"/>
        <c:axId val="593700831"/>
        <c:axId val="1"/>
      </c:barChart>
      <c:catAx>
        <c:axId val="593700831"/>
        <c:scaling>
          <c:orientation val="minMax"/>
        </c:scaling>
        <c:delete val="0"/>
        <c:axPos val="b"/>
        <c:numFmt formatCode="General" sourceLinked="1"/>
        <c:majorTickMark val="out"/>
        <c:minorTickMark val="none"/>
        <c:tickLblPos val="nextTo"/>
        <c:spPr>
          <a:ln w="6350">
            <a:noFill/>
          </a:ln>
        </c:spPr>
        <c:txPr>
          <a:bodyPr rot="0" vert="horz"/>
          <a:lstStyle/>
          <a:p>
            <a:pPr>
              <a:defRPr sz="14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93700831"/>
        <c:crosses val="autoZero"/>
        <c:crossBetween val="between"/>
      </c:valAx>
      <c:spPr>
        <a:noFill/>
        <a:ln w="25400">
          <a:noFill/>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tabColor theme="9" tint="-0.249977111117893"/>
  </sheetPr>
  <sheetViews>
    <sheetView zoomScale="92"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5" tint="0.39997558519241921"/>
  </sheetPr>
  <sheetViews>
    <sheetView zoomScale="92"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theme="5" tint="0.39997558519241921"/>
  </sheetPr>
  <sheetViews>
    <sheetView zoomScale="92" workbookViewId="0"/>
  </sheetViews>
  <pageMargins left="0.75" right="0.75" top="1" bottom="1" header="0.5" footer="0.5"/>
  <headerFooter alignWithMargins="0"/>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theme="5" tint="0.39997558519241921"/>
  </sheetPr>
  <sheetViews>
    <sheetView zoomScale="92"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absoluteAnchor>
    <xdr:pos x="0" y="0"/>
    <xdr:ext cx="9290326" cy="6053207"/>
    <xdr:graphicFrame macro="">
      <xdr:nvGraphicFramePr>
        <xdr:cNvPr id="2" name="Chart 1">
          <a:extLst>
            <a:ext uri="{FF2B5EF4-FFF2-40B4-BE49-F238E27FC236}">
              <a16:creationId xmlns:a16="http://schemas.microsoft.com/office/drawing/2014/main" id="{8E00DB93-AE6B-4464-9507-4B65BAED23F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4</xdr:col>
      <xdr:colOff>57150</xdr:colOff>
      <xdr:row>4</xdr:row>
      <xdr:rowOff>82550</xdr:rowOff>
    </xdr:from>
    <xdr:to>
      <xdr:col>15</xdr:col>
      <xdr:colOff>565150</xdr:colOff>
      <xdr:row>29</xdr:row>
      <xdr:rowOff>0</xdr:rowOff>
    </xdr:to>
    <xdr:graphicFrame macro="">
      <xdr:nvGraphicFramePr>
        <xdr:cNvPr id="65538" name="Chart 2">
          <a:extLst>
            <a:ext uri="{FF2B5EF4-FFF2-40B4-BE49-F238E27FC236}">
              <a16:creationId xmlns:a16="http://schemas.microsoft.com/office/drawing/2014/main" id="{4E5628A1-6DCB-4358-A2E1-F027373A6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165100</xdr:colOff>
      <xdr:row>2</xdr:row>
      <xdr:rowOff>19050</xdr:rowOff>
    </xdr:from>
    <xdr:to>
      <xdr:col>7</xdr:col>
      <xdr:colOff>603250</xdr:colOff>
      <xdr:row>16</xdr:row>
      <xdr:rowOff>152400</xdr:rowOff>
    </xdr:to>
    <xdr:graphicFrame macro="">
      <xdr:nvGraphicFramePr>
        <xdr:cNvPr id="18433" name="Chart 1">
          <a:extLst>
            <a:ext uri="{FF2B5EF4-FFF2-40B4-BE49-F238E27FC236}">
              <a16:creationId xmlns:a16="http://schemas.microsoft.com/office/drawing/2014/main" id="{6DE52F36-FBE6-4F0A-925A-1C3FE250D8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38</xdr:row>
      <xdr:rowOff>107950</xdr:rowOff>
    </xdr:from>
    <xdr:to>
      <xdr:col>9</xdr:col>
      <xdr:colOff>63500</xdr:colOff>
      <xdr:row>66</xdr:row>
      <xdr:rowOff>114300</xdr:rowOff>
    </xdr:to>
    <xdr:graphicFrame macro="">
      <xdr:nvGraphicFramePr>
        <xdr:cNvPr id="18438" name="Chart 6">
          <a:extLst>
            <a:ext uri="{FF2B5EF4-FFF2-40B4-BE49-F238E27FC236}">
              <a16:creationId xmlns:a16="http://schemas.microsoft.com/office/drawing/2014/main" id="{52549FFF-7580-416D-8CCF-AFEDAD88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527050</xdr:colOff>
      <xdr:row>16</xdr:row>
      <xdr:rowOff>6350</xdr:rowOff>
    </xdr:from>
    <xdr:to>
      <xdr:col>10</xdr:col>
      <xdr:colOff>317500</xdr:colOff>
      <xdr:row>34</xdr:row>
      <xdr:rowOff>57150</xdr:rowOff>
    </xdr:to>
    <xdr:graphicFrame macro="">
      <xdr:nvGraphicFramePr>
        <xdr:cNvPr id="18440" name="Chart 8">
          <a:extLst>
            <a:ext uri="{FF2B5EF4-FFF2-40B4-BE49-F238E27FC236}">
              <a16:creationId xmlns:a16="http://schemas.microsoft.com/office/drawing/2014/main" id="{9A40C9C0-0E39-4783-926A-2FB1ECE73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31750</xdr:colOff>
      <xdr:row>38</xdr:row>
      <xdr:rowOff>152400</xdr:rowOff>
    </xdr:from>
    <xdr:to>
      <xdr:col>19</xdr:col>
      <xdr:colOff>82550</xdr:colOff>
      <xdr:row>67</xdr:row>
      <xdr:rowOff>0</xdr:rowOff>
    </xdr:to>
    <xdr:graphicFrame macro="">
      <xdr:nvGraphicFramePr>
        <xdr:cNvPr id="6" name="Chart 6">
          <a:extLst>
            <a:ext uri="{FF2B5EF4-FFF2-40B4-BE49-F238E27FC236}">
              <a16:creationId xmlns:a16="http://schemas.microsoft.com/office/drawing/2014/main" id="{757CA549-0C4F-47B8-94F7-72F944ABDF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186793" cy="5590761"/>
    <xdr:graphicFrame macro="">
      <xdr:nvGraphicFramePr>
        <xdr:cNvPr id="2" name="Chart 1">
          <a:extLst>
            <a:ext uri="{FF2B5EF4-FFF2-40B4-BE49-F238E27FC236}">
              <a16:creationId xmlns:a16="http://schemas.microsoft.com/office/drawing/2014/main" id="{70C577DE-E94C-4FD0-BF25-2EC498B110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0.328</cdr:x>
      <cdr:y>0.125</cdr:y>
    </cdr:from>
    <cdr:to>
      <cdr:x>0.3995</cdr:x>
      <cdr:y>0.49275</cdr:y>
    </cdr:to>
    <cdr:sp macro="" textlink="">
      <cdr:nvSpPr>
        <cdr:cNvPr id="35841" name="Line 1">
          <a:extLst xmlns:a="http://schemas.openxmlformats.org/drawingml/2006/main">
            <a:ext uri="{FF2B5EF4-FFF2-40B4-BE49-F238E27FC236}">
              <a16:creationId xmlns:a16="http://schemas.microsoft.com/office/drawing/2014/main" id="{615F4AF8-38F5-48C9-AD6C-0F38221C064D}"/>
            </a:ext>
          </a:extLst>
        </cdr:cNvPr>
        <cdr:cNvSpPr>
          <a:spLocks xmlns:a="http://schemas.openxmlformats.org/drawingml/2006/main" noChangeShapeType="1"/>
        </cdr:cNvSpPr>
      </cdr:nvSpPr>
      <cdr:spPr bwMode="auto">
        <a:xfrm xmlns:a="http://schemas.openxmlformats.org/drawingml/2006/main" flipH="1" flipV="1">
          <a:off x="3013812" y="699294"/>
          <a:ext cx="656974" cy="2057322"/>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0.62675</cdr:x>
      <cdr:y>0.49275</cdr:y>
    </cdr:from>
    <cdr:to>
      <cdr:x>0.7015</cdr:x>
      <cdr:y>0.91325</cdr:y>
    </cdr:to>
    <cdr:sp macro="" textlink="">
      <cdr:nvSpPr>
        <cdr:cNvPr id="35842" name="Line 2">
          <a:extLst xmlns:a="http://schemas.openxmlformats.org/drawingml/2006/main">
            <a:ext uri="{FF2B5EF4-FFF2-40B4-BE49-F238E27FC236}">
              <a16:creationId xmlns:a16="http://schemas.microsoft.com/office/drawing/2014/main" id="{51C80371-9E32-42D9-BBFD-3FABFBE2AA0A}"/>
            </a:ext>
          </a:extLst>
        </cdr:cNvPr>
        <cdr:cNvSpPr>
          <a:spLocks xmlns:a="http://schemas.openxmlformats.org/drawingml/2006/main" noChangeShapeType="1"/>
        </cdr:cNvSpPr>
      </cdr:nvSpPr>
      <cdr:spPr bwMode="auto">
        <a:xfrm xmlns:a="http://schemas.openxmlformats.org/drawingml/2006/main" flipH="1" flipV="1">
          <a:off x="5758861" y="2756616"/>
          <a:ext cx="686837" cy="2352424"/>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000000" mc:Ignorable="a14" a14:legacySpreadsheetColorIndex="64"/>
          </a:solidFill>
          <a:round/>
          <a:headEnd type="triangle" w="med" len="me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0.328</cdr:x>
      <cdr:y>0.90975</cdr:y>
    </cdr:from>
    <cdr:to>
      <cdr:x>0.3995</cdr:x>
      <cdr:y>0.90975</cdr:y>
    </cdr:to>
    <cdr:sp macro="" textlink="">
      <cdr:nvSpPr>
        <cdr:cNvPr id="35844" name="Line 4">
          <a:extLst xmlns:a="http://schemas.openxmlformats.org/drawingml/2006/main">
            <a:ext uri="{FF2B5EF4-FFF2-40B4-BE49-F238E27FC236}">
              <a16:creationId xmlns:a16="http://schemas.microsoft.com/office/drawing/2014/main" id="{94FF8E9B-D263-481B-912B-A3E4D331FF74}"/>
            </a:ext>
          </a:extLst>
        </cdr:cNvPr>
        <cdr:cNvSpPr>
          <a:spLocks xmlns:a="http://schemas.openxmlformats.org/drawingml/2006/main" noChangeShapeType="1"/>
        </cdr:cNvSpPr>
      </cdr:nvSpPr>
      <cdr:spPr bwMode="auto">
        <a:xfrm xmlns:a="http://schemas.openxmlformats.org/drawingml/2006/main">
          <a:off x="3013812" y="5089460"/>
          <a:ext cx="656974" cy="0"/>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000000" mc:Ignorable="a14" a14:legacySpreadsheetColorIndex="64"/>
          </a:solidFill>
          <a:round/>
          <a:headEnd type="triangle" w="med" len="me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0.62675</cdr:x>
      <cdr:y>0.125</cdr:y>
    </cdr:from>
    <cdr:to>
      <cdr:x>0.698</cdr:x>
      <cdr:y>0.125</cdr:y>
    </cdr:to>
    <cdr:sp macro="" textlink="">
      <cdr:nvSpPr>
        <cdr:cNvPr id="35845" name="Line 5">
          <a:extLst xmlns:a="http://schemas.openxmlformats.org/drawingml/2006/main">
            <a:ext uri="{FF2B5EF4-FFF2-40B4-BE49-F238E27FC236}">
              <a16:creationId xmlns:a16="http://schemas.microsoft.com/office/drawing/2014/main" id="{D0B97214-E078-48B6-B52C-F16BD44548C5}"/>
            </a:ext>
          </a:extLst>
        </cdr:cNvPr>
        <cdr:cNvSpPr>
          <a:spLocks xmlns:a="http://schemas.openxmlformats.org/drawingml/2006/main" noChangeShapeType="1"/>
        </cdr:cNvSpPr>
      </cdr:nvSpPr>
      <cdr:spPr bwMode="auto">
        <a:xfrm xmlns:a="http://schemas.openxmlformats.org/drawingml/2006/main">
          <a:off x="5758861" y="699294"/>
          <a:ext cx="654677" cy="0"/>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relSizeAnchor>
</c:userShapes>
</file>

<file path=xl/drawings/drawing6.xml><?xml version="1.0" encoding="utf-8"?>
<xdr:wsDr xmlns:xdr="http://schemas.openxmlformats.org/drawingml/2006/spreadsheetDrawing" xmlns:a="http://schemas.openxmlformats.org/drawingml/2006/main">
  <xdr:absoluteAnchor>
    <xdr:pos x="0" y="0"/>
    <xdr:ext cx="9290326" cy="6053207"/>
    <xdr:graphicFrame macro="">
      <xdr:nvGraphicFramePr>
        <xdr:cNvPr id="2" name="Chart 1">
          <a:extLst>
            <a:ext uri="{FF2B5EF4-FFF2-40B4-BE49-F238E27FC236}">
              <a16:creationId xmlns:a16="http://schemas.microsoft.com/office/drawing/2014/main" id="{E82E19BB-1C99-4574-85B3-2015B678F49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0.46</cdr:x>
      <cdr:y>0.4835</cdr:y>
    </cdr:from>
    <cdr:to>
      <cdr:x>0.55975</cdr:x>
      <cdr:y>0.9045</cdr:y>
    </cdr:to>
    <cdr:sp macro="" textlink="">
      <cdr:nvSpPr>
        <cdr:cNvPr id="36866" name="Line 2">
          <a:extLst xmlns:a="http://schemas.openxmlformats.org/drawingml/2006/main">
            <a:ext uri="{FF2B5EF4-FFF2-40B4-BE49-F238E27FC236}">
              <a16:creationId xmlns:a16="http://schemas.microsoft.com/office/drawing/2014/main" id="{DE42FA8C-B793-427B-BDF3-B718381B2F35}"/>
            </a:ext>
          </a:extLst>
        </cdr:cNvPr>
        <cdr:cNvSpPr>
          <a:spLocks xmlns:a="http://schemas.openxmlformats.org/drawingml/2006/main" noChangeShapeType="1"/>
        </cdr:cNvSpPr>
      </cdr:nvSpPr>
      <cdr:spPr bwMode="auto">
        <a:xfrm xmlns:a="http://schemas.openxmlformats.org/drawingml/2006/main" flipH="1" flipV="1">
          <a:off x="4226687" y="2704868"/>
          <a:ext cx="916548" cy="2355222"/>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000000" mc:Ignorable="a14" a14:legacySpreadsheetColorIndex="64"/>
          </a:solidFill>
          <a:round/>
          <a:headEnd type="triangle" w="med" len="me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0.46625</cdr:x>
      <cdr:y>0.125</cdr:y>
    </cdr:from>
    <cdr:to>
      <cdr:x>0.566</cdr:x>
      <cdr:y>0.125</cdr:y>
    </cdr:to>
    <cdr:sp macro="" textlink="">
      <cdr:nvSpPr>
        <cdr:cNvPr id="36868" name="Line 4">
          <a:extLst xmlns:a="http://schemas.openxmlformats.org/drawingml/2006/main">
            <a:ext uri="{FF2B5EF4-FFF2-40B4-BE49-F238E27FC236}">
              <a16:creationId xmlns:a16="http://schemas.microsoft.com/office/drawing/2014/main" id="{D0008CB8-31B9-476B-A5AA-AD92B40C1141}"/>
            </a:ext>
          </a:extLst>
        </cdr:cNvPr>
        <cdr:cNvSpPr>
          <a:spLocks xmlns:a="http://schemas.openxmlformats.org/drawingml/2006/main" noChangeShapeType="1"/>
        </cdr:cNvSpPr>
      </cdr:nvSpPr>
      <cdr:spPr bwMode="auto">
        <a:xfrm xmlns:a="http://schemas.openxmlformats.org/drawingml/2006/main" flipV="1">
          <a:off x="4284115" y="699294"/>
          <a:ext cx="916548" cy="0"/>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relSizeAnchor>
</c:userShapes>
</file>

<file path=xl/drawings/drawing8.xml><?xml version="1.0" encoding="utf-8"?>
<xdr:wsDr xmlns:xdr="http://schemas.openxmlformats.org/drawingml/2006/spreadsheetDrawing" xmlns:a="http://schemas.openxmlformats.org/drawingml/2006/main">
  <xdr:absoluteAnchor>
    <xdr:pos x="0" y="0"/>
    <xdr:ext cx="9290326" cy="6053207"/>
    <xdr:graphicFrame macro="">
      <xdr:nvGraphicFramePr>
        <xdr:cNvPr id="2" name="Chart 1">
          <a:extLst>
            <a:ext uri="{FF2B5EF4-FFF2-40B4-BE49-F238E27FC236}">
              <a16:creationId xmlns:a16="http://schemas.microsoft.com/office/drawing/2014/main" id="{552F9DE9-4000-404A-8BBA-578433367EC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xdr:from>
      <xdr:col>0</xdr:col>
      <xdr:colOff>600074</xdr:colOff>
      <xdr:row>32</xdr:row>
      <xdr:rowOff>38100</xdr:rowOff>
    </xdr:from>
    <xdr:to>
      <xdr:col>6</xdr:col>
      <xdr:colOff>444499</xdr:colOff>
      <xdr:row>49</xdr:row>
      <xdr:rowOff>82550</xdr:rowOff>
    </xdr:to>
    <xdr:graphicFrame macro="">
      <xdr:nvGraphicFramePr>
        <xdr:cNvPr id="6" name="Chart 5">
          <a:extLst>
            <a:ext uri="{FF2B5EF4-FFF2-40B4-BE49-F238E27FC236}">
              <a16:creationId xmlns:a16="http://schemas.microsoft.com/office/drawing/2014/main" id="{20F159C0-DEDF-4A64-BAAB-21415EBE19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52</xdr:row>
      <xdr:rowOff>38100</xdr:rowOff>
    </xdr:from>
    <xdr:to>
      <xdr:col>5</xdr:col>
      <xdr:colOff>114299</xdr:colOff>
      <xdr:row>74</xdr:row>
      <xdr:rowOff>120650</xdr:rowOff>
    </xdr:to>
    <xdr:graphicFrame macro="">
      <xdr:nvGraphicFramePr>
        <xdr:cNvPr id="7" name="Chart 6">
          <a:extLst>
            <a:ext uri="{FF2B5EF4-FFF2-40B4-BE49-F238E27FC236}">
              <a16:creationId xmlns:a16="http://schemas.microsoft.com/office/drawing/2014/main" id="{2428EFA3-8BDA-4768-8869-0C208B0E05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52</xdr:row>
      <xdr:rowOff>82550</xdr:rowOff>
    </xdr:from>
    <xdr:to>
      <xdr:col>12</xdr:col>
      <xdr:colOff>1006475</xdr:colOff>
      <xdr:row>75</xdr:row>
      <xdr:rowOff>6350</xdr:rowOff>
    </xdr:to>
    <xdr:graphicFrame macro="">
      <xdr:nvGraphicFramePr>
        <xdr:cNvPr id="8" name="Chart 7">
          <a:extLst>
            <a:ext uri="{FF2B5EF4-FFF2-40B4-BE49-F238E27FC236}">
              <a16:creationId xmlns:a16="http://schemas.microsoft.com/office/drawing/2014/main" id="{51B9E170-91D1-46D6-8217-A9BD8A9B7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77</xdr:row>
      <xdr:rowOff>0</xdr:rowOff>
    </xdr:from>
    <xdr:to>
      <xdr:col>4</xdr:col>
      <xdr:colOff>603250</xdr:colOff>
      <xdr:row>94</xdr:row>
      <xdr:rowOff>44450</xdr:rowOff>
    </xdr:to>
    <xdr:graphicFrame macro="">
      <xdr:nvGraphicFramePr>
        <xdr:cNvPr id="5" name="Chart 4">
          <a:extLst>
            <a:ext uri="{FF2B5EF4-FFF2-40B4-BE49-F238E27FC236}">
              <a16:creationId xmlns:a16="http://schemas.microsoft.com/office/drawing/2014/main" id="{F1D8C27D-228F-4C15-926C-00B543DD3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B66CF-AC91-4B70-8DFD-0CB701B8846E}">
  <dimension ref="A1:AB23"/>
  <sheetViews>
    <sheetView tabSelected="1" workbookViewId="0">
      <selection activeCell="Q10" sqref="Q10"/>
    </sheetView>
  </sheetViews>
  <sheetFormatPr defaultRowHeight="12.5" x14ac:dyDescent="0.25"/>
  <cols>
    <col min="12" max="12" width="15.1796875" customWidth="1"/>
  </cols>
  <sheetData>
    <row r="1" spans="1:28" ht="12.5" customHeight="1" x14ac:dyDescent="0.25">
      <c r="A1" s="173" t="s">
        <v>185</v>
      </c>
      <c r="B1" s="174"/>
      <c r="C1" s="174"/>
      <c r="D1" s="174"/>
      <c r="E1" s="174"/>
      <c r="F1" s="174"/>
      <c r="G1" s="174"/>
      <c r="H1" s="174"/>
      <c r="I1" s="174"/>
      <c r="J1" s="174"/>
      <c r="K1" s="174"/>
      <c r="L1" s="174"/>
      <c r="AA1" s="147" t="s">
        <v>166</v>
      </c>
      <c r="AB1" s="146"/>
    </row>
    <row r="2" spans="1:28" ht="82" customHeight="1" x14ac:dyDescent="0.25">
      <c r="A2" s="174"/>
      <c r="B2" s="174"/>
      <c r="C2" s="174"/>
      <c r="D2" s="174"/>
      <c r="E2" s="174"/>
      <c r="F2" s="174"/>
      <c r="G2" s="174"/>
      <c r="H2" s="174"/>
      <c r="I2" s="174"/>
      <c r="J2" s="174"/>
      <c r="K2" s="174"/>
      <c r="L2" s="174"/>
      <c r="AA2" s="146"/>
      <c r="AB2" s="146"/>
    </row>
    <row r="4" spans="1:28" ht="18" x14ac:dyDescent="0.25">
      <c r="A4" s="177" t="s">
        <v>168</v>
      </c>
      <c r="B4" s="178"/>
      <c r="C4" s="170" t="s">
        <v>169</v>
      </c>
      <c r="D4" s="171"/>
      <c r="E4" s="172"/>
      <c r="F4" s="151" t="s">
        <v>170</v>
      </c>
      <c r="G4" s="170" t="s">
        <v>171</v>
      </c>
      <c r="H4" s="171"/>
      <c r="I4" s="171"/>
      <c r="J4" s="171"/>
      <c r="K4" s="171"/>
      <c r="L4" s="172"/>
    </row>
    <row r="5" spans="1:28" ht="94.5" customHeight="1" x14ac:dyDescent="0.25">
      <c r="A5" s="167" t="s">
        <v>172</v>
      </c>
      <c r="B5" s="168"/>
      <c r="C5" s="168"/>
      <c r="D5" s="168"/>
      <c r="E5" s="168"/>
      <c r="F5" s="168"/>
      <c r="G5" s="168"/>
      <c r="H5" s="168"/>
      <c r="I5" s="168"/>
      <c r="J5" s="168"/>
      <c r="K5" s="168"/>
      <c r="L5" s="169"/>
    </row>
    <row r="6" spans="1:28" x14ac:dyDescent="0.25">
      <c r="A6" s="175"/>
      <c r="B6" s="175"/>
      <c r="C6" s="175"/>
      <c r="D6" s="175"/>
      <c r="E6" s="175"/>
      <c r="F6" s="175"/>
      <c r="G6" s="175"/>
      <c r="H6" s="175"/>
      <c r="I6" s="175"/>
      <c r="J6" s="175"/>
      <c r="K6" s="175"/>
      <c r="L6" s="175"/>
    </row>
    <row r="7" spans="1:28" ht="76" customHeight="1" x14ac:dyDescent="0.25">
      <c r="A7" s="176" t="s">
        <v>173</v>
      </c>
      <c r="B7" s="176"/>
      <c r="C7" s="176"/>
      <c r="D7" s="176"/>
      <c r="E7" s="176"/>
      <c r="F7" s="176"/>
      <c r="G7" s="176"/>
      <c r="H7" s="176"/>
      <c r="I7" s="176"/>
      <c r="J7" s="176"/>
      <c r="K7" s="176"/>
      <c r="L7" s="176"/>
    </row>
    <row r="8" spans="1:28" ht="18" x14ac:dyDescent="0.4">
      <c r="A8" s="166" t="s">
        <v>154</v>
      </c>
      <c r="B8" s="166"/>
      <c r="C8" s="166"/>
      <c r="D8" s="166"/>
      <c r="E8" s="166"/>
      <c r="F8" s="166"/>
      <c r="G8" s="166"/>
      <c r="H8" s="166"/>
      <c r="I8" s="166"/>
      <c r="J8" s="166"/>
      <c r="K8" s="166"/>
      <c r="L8" s="166"/>
    </row>
    <row r="9" spans="1:28" ht="110.5" customHeight="1" x14ac:dyDescent="0.25">
      <c r="A9" s="167" t="s">
        <v>174</v>
      </c>
      <c r="B9" s="168"/>
      <c r="C9" s="168"/>
      <c r="D9" s="168"/>
      <c r="E9" s="168"/>
      <c r="F9" s="168"/>
      <c r="G9" s="168"/>
      <c r="H9" s="168"/>
      <c r="I9" s="168"/>
      <c r="J9" s="168"/>
      <c r="K9" s="168"/>
      <c r="L9" s="169"/>
    </row>
    <row r="10" spans="1:28" ht="70.5" customHeight="1" x14ac:dyDescent="0.25"/>
    <row r="11" spans="1:28" ht="18" x14ac:dyDescent="0.4">
      <c r="A11" s="166" t="s">
        <v>155</v>
      </c>
      <c r="B11" s="166"/>
      <c r="C11" s="166"/>
      <c r="D11" s="166"/>
      <c r="E11" s="166"/>
      <c r="F11" s="166"/>
      <c r="G11" s="166"/>
      <c r="H11" s="166"/>
      <c r="I11" s="166"/>
      <c r="J11" s="166"/>
      <c r="K11" s="166"/>
      <c r="L11" s="166"/>
    </row>
    <row r="12" spans="1:28" ht="57.5" customHeight="1" x14ac:dyDescent="0.25">
      <c r="A12" s="167" t="s">
        <v>158</v>
      </c>
      <c r="B12" s="168"/>
      <c r="C12" s="168"/>
      <c r="D12" s="168"/>
      <c r="E12" s="168"/>
      <c r="F12" s="168"/>
      <c r="G12" s="168"/>
      <c r="H12" s="168"/>
      <c r="I12" s="168"/>
      <c r="J12" s="168"/>
      <c r="K12" s="168"/>
      <c r="L12" s="169"/>
    </row>
    <row r="14" spans="1:28" ht="35" customHeight="1" x14ac:dyDescent="0.4">
      <c r="A14" s="166" t="s">
        <v>156</v>
      </c>
      <c r="B14" s="166"/>
      <c r="C14" s="166"/>
      <c r="D14" s="166"/>
      <c r="E14" s="166"/>
      <c r="F14" s="166"/>
      <c r="G14" s="166"/>
      <c r="H14" s="166"/>
      <c r="I14" s="166"/>
      <c r="J14" s="166"/>
      <c r="K14" s="166"/>
      <c r="L14" s="166"/>
    </row>
    <row r="15" spans="1:28" ht="18" x14ac:dyDescent="0.4">
      <c r="B15" s="160" t="s">
        <v>157</v>
      </c>
      <c r="C15" s="161"/>
      <c r="D15" s="161"/>
      <c r="E15" s="161"/>
      <c r="F15" s="161"/>
      <c r="G15" s="161"/>
      <c r="H15" s="161"/>
      <c r="I15" s="161"/>
      <c r="J15" s="161"/>
      <c r="K15" s="161"/>
      <c r="L15" s="162"/>
    </row>
    <row r="16" spans="1:28" ht="191" customHeight="1" x14ac:dyDescent="0.25">
      <c r="B16" s="163" t="s">
        <v>181</v>
      </c>
      <c r="C16" s="164"/>
      <c r="D16" s="164"/>
      <c r="E16" s="164"/>
      <c r="F16" s="164"/>
      <c r="G16" s="164"/>
      <c r="H16" s="164"/>
      <c r="I16" s="164"/>
      <c r="J16" s="164"/>
      <c r="K16" s="164"/>
      <c r="L16" s="165"/>
    </row>
    <row r="17" spans="1:12" ht="18" x14ac:dyDescent="0.4">
      <c r="B17" s="160" t="s">
        <v>159</v>
      </c>
      <c r="C17" s="161"/>
      <c r="D17" s="161"/>
      <c r="E17" s="161"/>
      <c r="F17" s="161"/>
      <c r="G17" s="161"/>
      <c r="H17" s="161"/>
      <c r="I17" s="161"/>
      <c r="J17" s="161"/>
      <c r="K17" s="161"/>
      <c r="L17" s="162"/>
    </row>
    <row r="18" spans="1:12" ht="164.5" customHeight="1" x14ac:dyDescent="0.25">
      <c r="B18" s="163" t="s">
        <v>164</v>
      </c>
      <c r="C18" s="164"/>
      <c r="D18" s="164"/>
      <c r="E18" s="164"/>
      <c r="F18" s="164"/>
      <c r="G18" s="164"/>
      <c r="H18" s="164"/>
      <c r="I18" s="164"/>
      <c r="J18" s="164"/>
      <c r="K18" s="164"/>
      <c r="L18" s="165"/>
    </row>
    <row r="19" spans="1:12" ht="18" x14ac:dyDescent="0.4">
      <c r="B19" s="160" t="s">
        <v>160</v>
      </c>
      <c r="C19" s="161"/>
      <c r="D19" s="161"/>
      <c r="E19" s="161"/>
      <c r="F19" s="161"/>
      <c r="G19" s="161"/>
      <c r="H19" s="161"/>
      <c r="I19" s="161"/>
      <c r="J19" s="161"/>
      <c r="K19" s="161"/>
      <c r="L19" s="162"/>
    </row>
    <row r="20" spans="1:12" ht="26" customHeight="1" x14ac:dyDescent="0.25">
      <c r="B20" s="163" t="s">
        <v>161</v>
      </c>
      <c r="C20" s="164"/>
      <c r="D20" s="164"/>
      <c r="E20" s="164"/>
      <c r="F20" s="164"/>
      <c r="G20" s="164"/>
      <c r="H20" s="164"/>
      <c r="I20" s="164"/>
      <c r="J20" s="164"/>
      <c r="K20" s="164"/>
      <c r="L20" s="165"/>
    </row>
    <row r="21" spans="1:12" ht="20" customHeight="1" x14ac:dyDescent="0.25"/>
    <row r="22" spans="1:12" ht="18" x14ac:dyDescent="0.4">
      <c r="A22" s="166" t="s">
        <v>162</v>
      </c>
      <c r="B22" s="166"/>
      <c r="C22" s="166"/>
      <c r="D22" s="166"/>
      <c r="E22" s="166"/>
      <c r="F22" s="166"/>
      <c r="G22" s="166"/>
      <c r="H22" s="166"/>
      <c r="I22" s="166"/>
      <c r="J22" s="166"/>
      <c r="K22" s="166"/>
      <c r="L22" s="166"/>
    </row>
    <row r="23" spans="1:12" ht="35.5" customHeight="1" x14ac:dyDescent="0.25">
      <c r="A23" s="167" t="s">
        <v>163</v>
      </c>
      <c r="B23" s="168"/>
      <c r="C23" s="168"/>
      <c r="D23" s="168"/>
      <c r="E23" s="168"/>
      <c r="F23" s="168"/>
      <c r="G23" s="168"/>
      <c r="H23" s="168"/>
      <c r="I23" s="168"/>
      <c r="J23" s="168"/>
      <c r="K23" s="168"/>
      <c r="L23" s="169"/>
    </row>
  </sheetData>
  <mergeCells count="20">
    <mergeCell ref="A1:L2"/>
    <mergeCell ref="B15:L15"/>
    <mergeCell ref="B16:L16"/>
    <mergeCell ref="B17:L17"/>
    <mergeCell ref="B18:L18"/>
    <mergeCell ref="A6:L6"/>
    <mergeCell ref="A9:L9"/>
    <mergeCell ref="A12:L12"/>
    <mergeCell ref="A7:L7"/>
    <mergeCell ref="A4:B4"/>
    <mergeCell ref="C4:E4"/>
    <mergeCell ref="B19:L19"/>
    <mergeCell ref="B20:L20"/>
    <mergeCell ref="A22:L22"/>
    <mergeCell ref="A23:L23"/>
    <mergeCell ref="G4:L4"/>
    <mergeCell ref="A5:L5"/>
    <mergeCell ref="A8:L8"/>
    <mergeCell ref="A11:L11"/>
    <mergeCell ref="A14: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D187"/>
  <sheetViews>
    <sheetView showGridLines="0" workbookViewId="0">
      <selection activeCell="D15" sqref="D15"/>
    </sheetView>
  </sheetViews>
  <sheetFormatPr defaultColWidth="9.1796875" defaultRowHeight="12.5" x14ac:dyDescent="0.25"/>
  <cols>
    <col min="1" max="1" width="3.7265625" customWidth="1"/>
    <col min="2" max="2" width="73.1796875" bestFit="1" customWidth="1"/>
    <col min="3" max="3" width="9.7265625" customWidth="1"/>
    <col min="4" max="4" width="30.7265625" customWidth="1"/>
  </cols>
  <sheetData>
    <row r="2" spans="1:4" x14ac:dyDescent="0.25">
      <c r="B2" s="90" t="s">
        <v>28</v>
      </c>
      <c r="C2" s="179"/>
      <c r="D2" s="180"/>
    </row>
    <row r="3" spans="1:4" x14ac:dyDescent="0.25">
      <c r="B3" s="90" t="s">
        <v>29</v>
      </c>
      <c r="C3" s="179"/>
      <c r="D3" s="180"/>
    </row>
    <row r="4" spans="1:4" x14ac:dyDescent="0.25">
      <c r="B4" s="90" t="s">
        <v>30</v>
      </c>
      <c r="C4" s="179"/>
      <c r="D4" s="180"/>
    </row>
    <row r="5" spans="1:4" ht="13" thickBot="1" x14ac:dyDescent="0.3"/>
    <row r="6" spans="1:4" ht="13.5" thickBot="1" x14ac:dyDescent="0.35">
      <c r="A6" s="186" t="s">
        <v>10</v>
      </c>
      <c r="B6" s="187"/>
      <c r="C6" s="187"/>
      <c r="D6" s="188"/>
    </row>
    <row r="7" spans="1:4" ht="15" x14ac:dyDescent="0.3">
      <c r="A7" s="62"/>
      <c r="B7" s="74" t="s">
        <v>179</v>
      </c>
      <c r="C7" s="63" t="s">
        <v>180</v>
      </c>
      <c r="D7" s="64"/>
    </row>
    <row r="8" spans="1:4" ht="13" x14ac:dyDescent="0.3">
      <c r="A8" s="65"/>
      <c r="B8" s="75" t="s">
        <v>11</v>
      </c>
      <c r="C8" s="154" t="s">
        <v>2</v>
      </c>
      <c r="D8" s="66"/>
    </row>
    <row r="9" spans="1:4" ht="13" x14ac:dyDescent="0.3">
      <c r="A9" s="65"/>
      <c r="B9" s="183" t="s">
        <v>178</v>
      </c>
      <c r="C9" s="184"/>
      <c r="D9" s="185"/>
    </row>
    <row r="10" spans="1:4" ht="13" x14ac:dyDescent="0.3">
      <c r="A10" s="65"/>
      <c r="B10" s="91" t="s">
        <v>31</v>
      </c>
      <c r="C10" s="181"/>
      <c r="D10" s="182"/>
    </row>
    <row r="11" spans="1:4" ht="13" x14ac:dyDescent="0.3">
      <c r="A11" s="65"/>
      <c r="B11" s="91" t="s">
        <v>32</v>
      </c>
      <c r="C11" s="181"/>
      <c r="D11" s="182"/>
    </row>
    <row r="12" spans="1:4" ht="13" x14ac:dyDescent="0.3">
      <c r="A12" s="65"/>
      <c r="B12" s="91" t="s">
        <v>33</v>
      </c>
      <c r="C12" s="181"/>
      <c r="D12" s="182"/>
    </row>
    <row r="13" spans="1:4" ht="13" x14ac:dyDescent="0.3">
      <c r="A13" s="65"/>
      <c r="B13" s="91" t="s">
        <v>34</v>
      </c>
      <c r="C13" s="181"/>
      <c r="D13" s="182"/>
    </row>
    <row r="14" spans="1:4" ht="13.5" thickBot="1" x14ac:dyDescent="0.35">
      <c r="A14" s="67"/>
      <c r="B14" s="68"/>
      <c r="C14" s="69"/>
      <c r="D14" s="66"/>
    </row>
    <row r="15" spans="1:4" ht="15" x14ac:dyDescent="0.3">
      <c r="A15" s="70"/>
      <c r="B15" s="155" t="s">
        <v>12</v>
      </c>
      <c r="C15" s="155" t="s">
        <v>14</v>
      </c>
      <c r="D15" s="156" t="s">
        <v>15</v>
      </c>
    </row>
    <row r="16" spans="1:4" ht="15" x14ac:dyDescent="0.3">
      <c r="A16" s="71"/>
      <c r="B16" s="72" t="s">
        <v>13</v>
      </c>
      <c r="C16" s="72"/>
      <c r="D16" s="73"/>
    </row>
    <row r="17" spans="1:4" x14ac:dyDescent="0.25">
      <c r="A17" s="76">
        <v>1</v>
      </c>
      <c r="B17" s="110" t="s">
        <v>67</v>
      </c>
      <c r="C17" s="78">
        <v>0.20833333333333334</v>
      </c>
      <c r="D17" s="79"/>
    </row>
    <row r="18" spans="1:4" x14ac:dyDescent="0.25">
      <c r="A18" s="76">
        <f t="shared" ref="A18:A49" si="0">A17+1</f>
        <v>2</v>
      </c>
      <c r="B18" s="110" t="s">
        <v>68</v>
      </c>
      <c r="C18" s="78">
        <v>0.20833333333333334</v>
      </c>
      <c r="D18" s="79"/>
    </row>
    <row r="19" spans="1:4" x14ac:dyDescent="0.25">
      <c r="A19" s="76">
        <f t="shared" si="0"/>
        <v>3</v>
      </c>
      <c r="B19" s="110" t="s">
        <v>69</v>
      </c>
      <c r="C19" s="78">
        <v>0.21527777777777779</v>
      </c>
      <c r="D19" s="79"/>
    </row>
    <row r="20" spans="1:4" x14ac:dyDescent="0.25">
      <c r="A20" s="76">
        <f t="shared" si="0"/>
        <v>4</v>
      </c>
      <c r="B20" s="110" t="s">
        <v>70</v>
      </c>
      <c r="C20" s="78">
        <v>0.21805555555555556</v>
      </c>
      <c r="D20" s="79"/>
    </row>
    <row r="21" spans="1:4" x14ac:dyDescent="0.25">
      <c r="A21" s="76">
        <f t="shared" si="0"/>
        <v>5</v>
      </c>
      <c r="B21" s="110" t="s">
        <v>71</v>
      </c>
      <c r="C21" s="78">
        <v>0.21875</v>
      </c>
      <c r="D21" s="79"/>
    </row>
    <row r="22" spans="1:4" x14ac:dyDescent="0.25">
      <c r="A22" s="76">
        <f t="shared" si="0"/>
        <v>6</v>
      </c>
      <c r="B22" s="110" t="s">
        <v>72</v>
      </c>
      <c r="C22" s="78">
        <v>0.22291666666666665</v>
      </c>
      <c r="D22" s="79"/>
    </row>
    <row r="23" spans="1:4" x14ac:dyDescent="0.25">
      <c r="A23" s="76">
        <f t="shared" si="0"/>
        <v>7</v>
      </c>
      <c r="B23" s="110" t="s">
        <v>73</v>
      </c>
      <c r="C23" s="78">
        <v>0.22569444444444445</v>
      </c>
      <c r="D23" s="79"/>
    </row>
    <row r="24" spans="1:4" x14ac:dyDescent="0.25">
      <c r="A24" s="76">
        <f t="shared" si="0"/>
        <v>8</v>
      </c>
      <c r="B24" s="110" t="s">
        <v>74</v>
      </c>
      <c r="C24" s="78">
        <v>0.23194444444444443</v>
      </c>
      <c r="D24" s="79"/>
    </row>
    <row r="25" spans="1:4" x14ac:dyDescent="0.25">
      <c r="A25" s="76">
        <f t="shared" si="0"/>
        <v>9</v>
      </c>
      <c r="B25" s="110" t="s">
        <v>75</v>
      </c>
      <c r="C25" s="78">
        <v>0.23263888888888887</v>
      </c>
      <c r="D25" s="79"/>
    </row>
    <row r="26" spans="1:4" x14ac:dyDescent="0.25">
      <c r="A26" s="76">
        <f t="shared" si="0"/>
        <v>10</v>
      </c>
      <c r="B26" s="110" t="s">
        <v>76</v>
      </c>
      <c r="C26" s="78">
        <v>0.24236111111111111</v>
      </c>
      <c r="D26" s="79"/>
    </row>
    <row r="27" spans="1:4" x14ac:dyDescent="0.25">
      <c r="A27" s="76">
        <f t="shared" si="0"/>
        <v>11</v>
      </c>
      <c r="B27" s="110" t="s">
        <v>77</v>
      </c>
      <c r="C27" s="78">
        <v>0.24305555555555555</v>
      </c>
      <c r="D27" s="79"/>
    </row>
    <row r="28" spans="1:4" x14ac:dyDescent="0.25">
      <c r="A28" s="76">
        <f t="shared" si="0"/>
        <v>12</v>
      </c>
      <c r="B28" s="110" t="s">
        <v>78</v>
      </c>
      <c r="C28" s="78">
        <v>0.24652777777777779</v>
      </c>
      <c r="D28" s="79"/>
    </row>
    <row r="29" spans="1:4" x14ac:dyDescent="0.25">
      <c r="A29" s="76">
        <f t="shared" si="0"/>
        <v>13</v>
      </c>
      <c r="B29" s="110" t="s">
        <v>79</v>
      </c>
      <c r="C29" s="78">
        <v>0.2638888888888889</v>
      </c>
      <c r="D29" s="79"/>
    </row>
    <row r="30" spans="1:4" x14ac:dyDescent="0.25">
      <c r="A30" s="76">
        <f t="shared" si="0"/>
        <v>14</v>
      </c>
      <c r="B30" s="110" t="s">
        <v>80</v>
      </c>
      <c r="C30" s="78">
        <v>0.26458333333333334</v>
      </c>
      <c r="D30" s="77"/>
    </row>
    <row r="31" spans="1:4" x14ac:dyDescent="0.25">
      <c r="A31" s="76">
        <f t="shared" si="0"/>
        <v>15</v>
      </c>
      <c r="B31" s="110" t="s">
        <v>81</v>
      </c>
      <c r="C31" s="78">
        <v>0.26597222222222222</v>
      </c>
      <c r="D31" s="79"/>
    </row>
    <row r="32" spans="1:4" x14ac:dyDescent="0.25">
      <c r="A32" s="76">
        <f t="shared" si="0"/>
        <v>16</v>
      </c>
      <c r="B32" s="110" t="s">
        <v>82</v>
      </c>
      <c r="C32" s="78">
        <v>0.27083333333333331</v>
      </c>
      <c r="D32" s="79"/>
    </row>
    <row r="33" spans="1:4" x14ac:dyDescent="0.25">
      <c r="A33" s="76">
        <f t="shared" si="0"/>
        <v>17</v>
      </c>
      <c r="B33" s="110" t="s">
        <v>83</v>
      </c>
      <c r="C33" s="78">
        <v>0.2722222222222222</v>
      </c>
      <c r="D33" s="79"/>
    </row>
    <row r="34" spans="1:4" x14ac:dyDescent="0.25">
      <c r="A34" s="76">
        <f t="shared" si="0"/>
        <v>18</v>
      </c>
      <c r="B34" s="110" t="s">
        <v>84</v>
      </c>
      <c r="C34" s="78">
        <v>0.27430555555555552</v>
      </c>
      <c r="D34" s="79"/>
    </row>
    <row r="35" spans="1:4" x14ac:dyDescent="0.25">
      <c r="A35" s="76">
        <f t="shared" si="0"/>
        <v>19</v>
      </c>
      <c r="B35" s="110" t="s">
        <v>85</v>
      </c>
      <c r="C35" s="78">
        <v>0.29166666666666669</v>
      </c>
      <c r="D35" s="79"/>
    </row>
    <row r="36" spans="1:4" x14ac:dyDescent="0.25">
      <c r="A36" s="76">
        <f t="shared" si="0"/>
        <v>20</v>
      </c>
      <c r="B36" s="110" t="s">
        <v>86</v>
      </c>
      <c r="C36" s="78">
        <v>0.29166666666666669</v>
      </c>
      <c r="D36" s="79"/>
    </row>
    <row r="37" spans="1:4" x14ac:dyDescent="0.25">
      <c r="A37" s="76">
        <f t="shared" si="0"/>
        <v>21</v>
      </c>
      <c r="B37" s="110" t="s">
        <v>87</v>
      </c>
      <c r="C37" s="78">
        <v>0.2951388888888889</v>
      </c>
      <c r="D37" s="79"/>
    </row>
    <row r="38" spans="1:4" x14ac:dyDescent="0.25">
      <c r="A38" s="76">
        <f t="shared" si="0"/>
        <v>22</v>
      </c>
      <c r="B38" s="110" t="s">
        <v>88</v>
      </c>
      <c r="C38" s="78">
        <v>0.29583333333333334</v>
      </c>
      <c r="D38" s="79"/>
    </row>
    <row r="39" spans="1:4" x14ac:dyDescent="0.25">
      <c r="A39" s="76">
        <f t="shared" si="0"/>
        <v>23</v>
      </c>
      <c r="B39" s="110" t="s">
        <v>89</v>
      </c>
      <c r="C39" s="78">
        <v>0.30486111111111108</v>
      </c>
      <c r="D39" s="79"/>
    </row>
    <row r="40" spans="1:4" x14ac:dyDescent="0.25">
      <c r="A40" s="76">
        <f t="shared" si="0"/>
        <v>24</v>
      </c>
      <c r="B40" s="110" t="s">
        <v>90</v>
      </c>
      <c r="C40" s="78">
        <v>0.30763888888888891</v>
      </c>
      <c r="D40" s="79"/>
    </row>
    <row r="41" spans="1:4" x14ac:dyDescent="0.25">
      <c r="A41" s="76">
        <f t="shared" si="0"/>
        <v>25</v>
      </c>
      <c r="B41" s="110" t="s">
        <v>91</v>
      </c>
      <c r="C41" s="78">
        <v>0.31319444444444444</v>
      </c>
      <c r="D41" s="79"/>
    </row>
    <row r="42" spans="1:4" x14ac:dyDescent="0.25">
      <c r="A42" s="76">
        <f t="shared" si="0"/>
        <v>26</v>
      </c>
      <c r="B42" s="110" t="s">
        <v>92</v>
      </c>
      <c r="C42" s="78">
        <v>0.31388888888888888</v>
      </c>
      <c r="D42" s="79"/>
    </row>
    <row r="43" spans="1:4" x14ac:dyDescent="0.25">
      <c r="A43" s="76">
        <f t="shared" si="0"/>
        <v>27</v>
      </c>
      <c r="B43" s="110" t="s">
        <v>93</v>
      </c>
      <c r="C43" s="78">
        <v>0.31597222222222221</v>
      </c>
      <c r="D43" s="79"/>
    </row>
    <row r="44" spans="1:4" x14ac:dyDescent="0.25">
      <c r="A44" s="76">
        <f t="shared" si="0"/>
        <v>28</v>
      </c>
      <c r="B44" s="110" t="s">
        <v>94</v>
      </c>
      <c r="C44" s="78">
        <v>0.31805555555555554</v>
      </c>
      <c r="D44" s="79"/>
    </row>
    <row r="45" spans="1:4" x14ac:dyDescent="0.25">
      <c r="A45" s="76">
        <f t="shared" si="0"/>
        <v>29</v>
      </c>
      <c r="B45" s="110" t="s">
        <v>95</v>
      </c>
      <c r="C45" s="78">
        <v>0.31944444444444448</v>
      </c>
      <c r="D45" s="79"/>
    </row>
    <row r="46" spans="1:4" x14ac:dyDescent="0.25">
      <c r="A46" s="76">
        <f t="shared" si="0"/>
        <v>30</v>
      </c>
      <c r="B46" s="110" t="s">
        <v>96</v>
      </c>
      <c r="C46" s="78">
        <v>0.32083333333333336</v>
      </c>
      <c r="D46" s="79"/>
    </row>
    <row r="47" spans="1:4" x14ac:dyDescent="0.25">
      <c r="A47" s="76">
        <f t="shared" si="0"/>
        <v>31</v>
      </c>
      <c r="B47" s="110" t="s">
        <v>97</v>
      </c>
      <c r="C47" s="78">
        <v>0.3215277777777778</v>
      </c>
      <c r="D47" s="79"/>
    </row>
    <row r="48" spans="1:4" x14ac:dyDescent="0.25">
      <c r="A48" s="76">
        <f t="shared" si="0"/>
        <v>32</v>
      </c>
      <c r="B48" s="110" t="s">
        <v>98</v>
      </c>
      <c r="C48" s="78">
        <v>0.32916666666666666</v>
      </c>
      <c r="D48" s="79"/>
    </row>
    <row r="49" spans="1:4" x14ac:dyDescent="0.25">
      <c r="A49" s="76">
        <f t="shared" si="0"/>
        <v>33</v>
      </c>
      <c r="B49" s="110" t="s">
        <v>99</v>
      </c>
      <c r="C49" s="78">
        <v>0.3298611111111111</v>
      </c>
      <c r="D49" s="79"/>
    </row>
    <row r="50" spans="1:4" x14ac:dyDescent="0.25">
      <c r="A50" s="76">
        <f t="shared" ref="A50:A81" si="1">A49+1</f>
        <v>34</v>
      </c>
      <c r="B50" s="110" t="s">
        <v>100</v>
      </c>
      <c r="C50" s="78">
        <v>0.3354166666666667</v>
      </c>
      <c r="D50" s="79"/>
    </row>
    <row r="51" spans="1:4" x14ac:dyDescent="0.25">
      <c r="A51" s="76">
        <f t="shared" si="1"/>
        <v>35</v>
      </c>
      <c r="B51" s="110" t="s">
        <v>101</v>
      </c>
      <c r="C51" s="78">
        <v>0.33819444444444446</v>
      </c>
      <c r="D51" s="79"/>
    </row>
    <row r="52" spans="1:4" x14ac:dyDescent="0.25">
      <c r="A52" s="76">
        <f t="shared" si="1"/>
        <v>36</v>
      </c>
      <c r="B52" s="110" t="s">
        <v>102</v>
      </c>
      <c r="C52" s="78">
        <v>0.3527777777777778</v>
      </c>
      <c r="D52" s="79"/>
    </row>
    <row r="53" spans="1:4" x14ac:dyDescent="0.25">
      <c r="A53" s="76">
        <f t="shared" si="1"/>
        <v>37</v>
      </c>
      <c r="B53" s="110" t="s">
        <v>103</v>
      </c>
      <c r="C53" s="78">
        <v>0.35694444444444445</v>
      </c>
      <c r="D53" s="79"/>
    </row>
    <row r="54" spans="1:4" x14ac:dyDescent="0.25">
      <c r="A54" s="76">
        <f t="shared" si="1"/>
        <v>38</v>
      </c>
      <c r="B54" s="110" t="s">
        <v>104</v>
      </c>
      <c r="C54" s="78">
        <v>0.35972222222222222</v>
      </c>
      <c r="D54" s="79"/>
    </row>
    <row r="55" spans="1:4" x14ac:dyDescent="0.25">
      <c r="A55" s="76">
        <f t="shared" si="1"/>
        <v>39</v>
      </c>
      <c r="B55" s="110" t="s">
        <v>105</v>
      </c>
      <c r="C55" s="78">
        <v>0.3611111111111111</v>
      </c>
      <c r="D55" s="79"/>
    </row>
    <row r="56" spans="1:4" x14ac:dyDescent="0.25">
      <c r="A56" s="76">
        <f t="shared" si="1"/>
        <v>40</v>
      </c>
      <c r="B56" s="110" t="s">
        <v>106</v>
      </c>
      <c r="C56" s="78">
        <v>0.36249999999999999</v>
      </c>
      <c r="D56" s="79"/>
    </row>
    <row r="57" spans="1:4" x14ac:dyDescent="0.25">
      <c r="A57" s="76">
        <f t="shared" si="1"/>
        <v>41</v>
      </c>
      <c r="B57" s="110" t="s">
        <v>107</v>
      </c>
      <c r="C57" s="78">
        <v>0.37083333333333335</v>
      </c>
      <c r="D57" s="79"/>
    </row>
    <row r="58" spans="1:4" x14ac:dyDescent="0.25">
      <c r="A58" s="76">
        <f t="shared" si="1"/>
        <v>42</v>
      </c>
      <c r="B58" s="110" t="s">
        <v>108</v>
      </c>
      <c r="C58" s="78">
        <v>0.37222222222222223</v>
      </c>
      <c r="D58" s="79"/>
    </row>
    <row r="59" spans="1:4" x14ac:dyDescent="0.25">
      <c r="A59" s="76">
        <f t="shared" si="1"/>
        <v>43</v>
      </c>
      <c r="B59" s="110" t="s">
        <v>109</v>
      </c>
      <c r="C59" s="78">
        <v>0.3833333333333333</v>
      </c>
      <c r="D59" s="79"/>
    </row>
    <row r="60" spans="1:4" x14ac:dyDescent="0.25">
      <c r="A60" s="76">
        <f t="shared" si="1"/>
        <v>44</v>
      </c>
      <c r="B60" s="110" t="s">
        <v>110</v>
      </c>
      <c r="C60" s="78">
        <v>0.3840277777777778</v>
      </c>
      <c r="D60" s="79"/>
    </row>
    <row r="61" spans="1:4" x14ac:dyDescent="0.25">
      <c r="A61" s="76">
        <f t="shared" si="1"/>
        <v>45</v>
      </c>
      <c r="B61" s="110" t="s">
        <v>111</v>
      </c>
      <c r="C61" s="78">
        <v>0.38819444444444445</v>
      </c>
      <c r="D61" s="79"/>
    </row>
    <row r="62" spans="1:4" x14ac:dyDescent="0.25">
      <c r="A62" s="76">
        <f t="shared" si="1"/>
        <v>46</v>
      </c>
      <c r="B62" s="110" t="s">
        <v>112</v>
      </c>
      <c r="C62" s="78">
        <v>0.38958333333333334</v>
      </c>
      <c r="D62" s="79"/>
    </row>
    <row r="63" spans="1:4" x14ac:dyDescent="0.25">
      <c r="A63" s="76">
        <f t="shared" si="1"/>
        <v>47</v>
      </c>
      <c r="B63" s="110" t="s">
        <v>113</v>
      </c>
      <c r="C63" s="78">
        <v>0.40138888888888885</v>
      </c>
      <c r="D63" s="79"/>
    </row>
    <row r="64" spans="1:4" x14ac:dyDescent="0.25">
      <c r="A64" s="76">
        <f t="shared" si="1"/>
        <v>48</v>
      </c>
      <c r="B64" s="110" t="s">
        <v>114</v>
      </c>
      <c r="C64" s="78">
        <v>0.40277777777777773</v>
      </c>
      <c r="D64" s="79"/>
    </row>
    <row r="65" spans="1:4" x14ac:dyDescent="0.25">
      <c r="A65" s="76">
        <f t="shared" si="1"/>
        <v>49</v>
      </c>
      <c r="B65" s="110" t="s">
        <v>115</v>
      </c>
      <c r="C65" s="78">
        <v>0.43333333333333335</v>
      </c>
      <c r="D65" s="79"/>
    </row>
    <row r="66" spans="1:4" x14ac:dyDescent="0.25">
      <c r="A66" s="76">
        <f t="shared" si="1"/>
        <v>50</v>
      </c>
      <c r="B66" s="110" t="s">
        <v>116</v>
      </c>
      <c r="C66" s="78">
        <v>0.43402777777777773</v>
      </c>
      <c r="D66" s="79"/>
    </row>
    <row r="67" spans="1:4" x14ac:dyDescent="0.25">
      <c r="A67" s="76">
        <f t="shared" si="1"/>
        <v>51</v>
      </c>
      <c r="B67" s="110" t="s">
        <v>117</v>
      </c>
      <c r="C67" s="78">
        <v>0.4368055555555555</v>
      </c>
      <c r="D67" s="79"/>
    </row>
    <row r="68" spans="1:4" x14ac:dyDescent="0.25">
      <c r="A68" s="76">
        <f t="shared" si="1"/>
        <v>52</v>
      </c>
      <c r="B68" s="110" t="s">
        <v>118</v>
      </c>
      <c r="C68" s="78">
        <v>0.44097222222222227</v>
      </c>
      <c r="D68" s="79"/>
    </row>
    <row r="69" spans="1:4" x14ac:dyDescent="0.25">
      <c r="A69" s="76">
        <f t="shared" si="1"/>
        <v>53</v>
      </c>
      <c r="B69" s="110" t="s">
        <v>119</v>
      </c>
      <c r="C69" s="78">
        <v>0.44374999999999998</v>
      </c>
      <c r="D69" s="79"/>
    </row>
    <row r="70" spans="1:4" x14ac:dyDescent="0.25">
      <c r="A70" s="76">
        <f t="shared" si="1"/>
        <v>54</v>
      </c>
      <c r="B70" s="110" t="s">
        <v>120</v>
      </c>
      <c r="C70" s="78">
        <v>0.44513888888888892</v>
      </c>
      <c r="D70" s="79"/>
    </row>
    <row r="71" spans="1:4" x14ac:dyDescent="0.25">
      <c r="A71" s="76">
        <f t="shared" si="1"/>
        <v>55</v>
      </c>
      <c r="B71" s="110" t="s">
        <v>121</v>
      </c>
      <c r="C71" s="78">
        <v>0.45208333333333334</v>
      </c>
      <c r="D71" s="79"/>
    </row>
    <row r="72" spans="1:4" x14ac:dyDescent="0.25">
      <c r="A72" s="76">
        <f t="shared" si="1"/>
        <v>56</v>
      </c>
      <c r="B72" s="110" t="s">
        <v>122</v>
      </c>
      <c r="C72" s="78">
        <v>0.45277777777777778</v>
      </c>
      <c r="D72" s="79"/>
    </row>
    <row r="73" spans="1:4" x14ac:dyDescent="0.25">
      <c r="A73" s="76">
        <f t="shared" si="1"/>
        <v>57</v>
      </c>
      <c r="B73" s="110" t="s">
        <v>123</v>
      </c>
      <c r="C73" s="78">
        <v>0.4604166666666667</v>
      </c>
      <c r="D73" s="79"/>
    </row>
    <row r="74" spans="1:4" x14ac:dyDescent="0.25">
      <c r="A74" s="76">
        <f t="shared" si="1"/>
        <v>58</v>
      </c>
      <c r="B74" s="110" t="s">
        <v>124</v>
      </c>
      <c r="C74" s="78">
        <v>0.47222222222222227</v>
      </c>
      <c r="D74" s="79"/>
    </row>
    <row r="75" spans="1:4" x14ac:dyDescent="0.25">
      <c r="A75" s="76">
        <f t="shared" si="1"/>
        <v>59</v>
      </c>
      <c r="B75" s="110" t="s">
        <v>125</v>
      </c>
      <c r="C75" s="78">
        <v>0.47291666666666665</v>
      </c>
      <c r="D75" s="79"/>
    </row>
    <row r="76" spans="1:4" x14ac:dyDescent="0.25">
      <c r="A76" s="76">
        <f t="shared" si="1"/>
        <v>60</v>
      </c>
      <c r="B76" s="110" t="s">
        <v>126</v>
      </c>
      <c r="C76" s="78">
        <v>0.47569444444444442</v>
      </c>
      <c r="D76" s="79"/>
    </row>
    <row r="77" spans="1:4" x14ac:dyDescent="0.25">
      <c r="A77" s="76">
        <f t="shared" si="1"/>
        <v>61</v>
      </c>
      <c r="B77" s="110" t="s">
        <v>127</v>
      </c>
      <c r="C77" s="78">
        <v>0.47847222222222219</v>
      </c>
      <c r="D77" s="79"/>
    </row>
    <row r="78" spans="1:4" x14ac:dyDescent="0.25">
      <c r="A78" s="76">
        <f t="shared" si="1"/>
        <v>62</v>
      </c>
      <c r="B78" s="110" t="s">
        <v>128</v>
      </c>
      <c r="C78" s="78">
        <v>0.48125000000000001</v>
      </c>
      <c r="D78" s="79"/>
    </row>
    <row r="79" spans="1:4" x14ac:dyDescent="0.25">
      <c r="A79" s="76">
        <f t="shared" si="1"/>
        <v>63</v>
      </c>
      <c r="B79" s="110" t="s">
        <v>129</v>
      </c>
      <c r="C79" s="78">
        <v>0.49305555555555558</v>
      </c>
      <c r="D79" s="79"/>
    </row>
    <row r="80" spans="1:4" x14ac:dyDescent="0.25">
      <c r="A80" s="76">
        <f t="shared" si="1"/>
        <v>64</v>
      </c>
      <c r="B80" s="110" t="s">
        <v>130</v>
      </c>
      <c r="C80" s="78">
        <v>0.49652777777777773</v>
      </c>
      <c r="D80" s="79"/>
    </row>
    <row r="81" spans="1:4" x14ac:dyDescent="0.25">
      <c r="A81" s="76">
        <f t="shared" si="1"/>
        <v>65</v>
      </c>
      <c r="B81" s="110" t="s">
        <v>131</v>
      </c>
      <c r="C81" s="78">
        <v>0.50694444444444442</v>
      </c>
      <c r="D81" s="79"/>
    </row>
    <row r="82" spans="1:4" x14ac:dyDescent="0.25">
      <c r="A82" s="76">
        <f t="shared" ref="A82:A113" si="2">A81+1</f>
        <v>66</v>
      </c>
      <c r="B82" s="110" t="s">
        <v>132</v>
      </c>
      <c r="C82" s="78">
        <v>0.51388888888888895</v>
      </c>
      <c r="D82" s="79"/>
    </row>
    <row r="83" spans="1:4" x14ac:dyDescent="0.25">
      <c r="A83" s="76">
        <f t="shared" si="2"/>
        <v>67</v>
      </c>
      <c r="B83" s="110" t="s">
        <v>133</v>
      </c>
      <c r="C83" s="78">
        <v>0.52430555555555558</v>
      </c>
      <c r="D83" s="79"/>
    </row>
    <row r="84" spans="1:4" x14ac:dyDescent="0.25">
      <c r="A84" s="76">
        <f t="shared" si="2"/>
        <v>68</v>
      </c>
      <c r="B84" s="110" t="s">
        <v>134</v>
      </c>
      <c r="C84" s="78">
        <v>0.54166666666666663</v>
      </c>
      <c r="D84" s="79"/>
    </row>
    <row r="85" spans="1:4" x14ac:dyDescent="0.25">
      <c r="A85" s="76">
        <f t="shared" si="2"/>
        <v>69</v>
      </c>
      <c r="B85" s="110" t="s">
        <v>135</v>
      </c>
      <c r="C85" s="78">
        <v>0.54305555555555551</v>
      </c>
      <c r="D85" s="79"/>
    </row>
    <row r="86" spans="1:4" x14ac:dyDescent="0.25">
      <c r="A86" s="76">
        <f t="shared" si="2"/>
        <v>70</v>
      </c>
      <c r="B86" s="77" t="s">
        <v>177</v>
      </c>
      <c r="C86" s="78">
        <v>0.55555555555555558</v>
      </c>
      <c r="D86" s="79"/>
    </row>
    <row r="87" spans="1:4" x14ac:dyDescent="0.25">
      <c r="A87" s="76">
        <f t="shared" si="2"/>
        <v>71</v>
      </c>
      <c r="B87" s="110"/>
      <c r="C87" s="78"/>
      <c r="D87" s="79"/>
    </row>
    <row r="88" spans="1:4" x14ac:dyDescent="0.25">
      <c r="A88" s="76">
        <f t="shared" si="2"/>
        <v>72</v>
      </c>
      <c r="B88" s="77"/>
      <c r="C88" s="78"/>
      <c r="D88" s="79"/>
    </row>
    <row r="89" spans="1:4" x14ac:dyDescent="0.25">
      <c r="A89" s="76">
        <f t="shared" si="2"/>
        <v>73</v>
      </c>
      <c r="B89" s="77"/>
      <c r="C89" s="78"/>
      <c r="D89" s="79"/>
    </row>
    <row r="90" spans="1:4" x14ac:dyDescent="0.25">
      <c r="A90" s="76">
        <f t="shared" si="2"/>
        <v>74</v>
      </c>
      <c r="B90" s="77"/>
      <c r="C90" s="78"/>
      <c r="D90" s="79"/>
    </row>
    <row r="91" spans="1:4" x14ac:dyDescent="0.25">
      <c r="A91" s="76">
        <f t="shared" si="2"/>
        <v>75</v>
      </c>
      <c r="B91" s="77"/>
      <c r="C91" s="78"/>
      <c r="D91" s="79"/>
    </row>
    <row r="92" spans="1:4" x14ac:dyDescent="0.25">
      <c r="A92" s="76">
        <f t="shared" si="2"/>
        <v>76</v>
      </c>
      <c r="B92" s="77"/>
      <c r="C92" s="78"/>
      <c r="D92" s="79"/>
    </row>
    <row r="93" spans="1:4" x14ac:dyDescent="0.25">
      <c r="A93" s="76">
        <f t="shared" si="2"/>
        <v>77</v>
      </c>
      <c r="B93" s="77"/>
      <c r="C93" s="78"/>
      <c r="D93" s="79"/>
    </row>
    <row r="94" spans="1:4" x14ac:dyDescent="0.25">
      <c r="A94" s="76">
        <f t="shared" si="2"/>
        <v>78</v>
      </c>
      <c r="B94" s="77"/>
      <c r="C94" s="78"/>
      <c r="D94" s="79"/>
    </row>
    <row r="95" spans="1:4" x14ac:dyDescent="0.25">
      <c r="A95" s="76">
        <f t="shared" si="2"/>
        <v>79</v>
      </c>
      <c r="B95" s="77"/>
      <c r="C95" s="78"/>
      <c r="D95" s="79"/>
    </row>
    <row r="96" spans="1:4" x14ac:dyDescent="0.25">
      <c r="A96" s="76">
        <f t="shared" si="2"/>
        <v>80</v>
      </c>
      <c r="B96" s="77"/>
      <c r="C96" s="78"/>
      <c r="D96" s="79"/>
    </row>
    <row r="97" spans="1:4" x14ac:dyDescent="0.25">
      <c r="A97" s="76">
        <f t="shared" si="2"/>
        <v>81</v>
      </c>
      <c r="B97" s="77"/>
      <c r="C97" s="78"/>
      <c r="D97" s="79"/>
    </row>
    <row r="98" spans="1:4" x14ac:dyDescent="0.25">
      <c r="A98" s="76">
        <f t="shared" si="2"/>
        <v>82</v>
      </c>
      <c r="B98" s="77"/>
      <c r="C98" s="78"/>
      <c r="D98" s="79"/>
    </row>
    <row r="99" spans="1:4" x14ac:dyDescent="0.25">
      <c r="A99" s="76">
        <f t="shared" si="2"/>
        <v>83</v>
      </c>
      <c r="B99" s="77"/>
      <c r="C99" s="78"/>
      <c r="D99" s="79"/>
    </row>
    <row r="100" spans="1:4" x14ac:dyDescent="0.25">
      <c r="A100" s="76">
        <f t="shared" si="2"/>
        <v>84</v>
      </c>
      <c r="B100" s="77"/>
      <c r="C100" s="78"/>
      <c r="D100" s="79"/>
    </row>
    <row r="101" spans="1:4" x14ac:dyDescent="0.25">
      <c r="A101" s="76">
        <f t="shared" si="2"/>
        <v>85</v>
      </c>
      <c r="B101" s="77"/>
      <c r="C101" s="78"/>
      <c r="D101" s="79"/>
    </row>
    <row r="102" spans="1:4" x14ac:dyDescent="0.25">
      <c r="A102" s="76">
        <f t="shared" si="2"/>
        <v>86</v>
      </c>
      <c r="B102" s="77"/>
      <c r="C102" s="78"/>
      <c r="D102" s="79"/>
    </row>
    <row r="103" spans="1:4" x14ac:dyDescent="0.25">
      <c r="A103" s="76">
        <f t="shared" si="2"/>
        <v>87</v>
      </c>
      <c r="B103" s="77"/>
      <c r="C103" s="78"/>
      <c r="D103" s="79"/>
    </row>
    <row r="104" spans="1:4" x14ac:dyDescent="0.25">
      <c r="A104" s="76">
        <f t="shared" si="2"/>
        <v>88</v>
      </c>
      <c r="B104" s="77"/>
      <c r="C104" s="78"/>
      <c r="D104" s="79"/>
    </row>
    <row r="105" spans="1:4" x14ac:dyDescent="0.25">
      <c r="A105" s="76">
        <f t="shared" si="2"/>
        <v>89</v>
      </c>
      <c r="B105" s="77"/>
      <c r="C105" s="78"/>
      <c r="D105" s="79"/>
    </row>
    <row r="106" spans="1:4" x14ac:dyDescent="0.25">
      <c r="A106" s="76">
        <f t="shared" si="2"/>
        <v>90</v>
      </c>
      <c r="B106" s="77"/>
      <c r="C106" s="78"/>
      <c r="D106" s="79"/>
    </row>
    <row r="107" spans="1:4" x14ac:dyDescent="0.25">
      <c r="A107" s="76">
        <f t="shared" si="2"/>
        <v>91</v>
      </c>
      <c r="B107" s="77"/>
      <c r="C107" s="78"/>
      <c r="D107" s="79"/>
    </row>
    <row r="108" spans="1:4" x14ac:dyDescent="0.25">
      <c r="A108" s="76">
        <f t="shared" si="2"/>
        <v>92</v>
      </c>
      <c r="B108" s="77"/>
      <c r="C108" s="78"/>
      <c r="D108" s="79"/>
    </row>
    <row r="109" spans="1:4" x14ac:dyDescent="0.25">
      <c r="A109" s="76">
        <f t="shared" si="2"/>
        <v>93</v>
      </c>
      <c r="B109" s="77"/>
      <c r="C109" s="78"/>
      <c r="D109" s="79"/>
    </row>
    <row r="110" spans="1:4" x14ac:dyDescent="0.25">
      <c r="A110" s="76">
        <f t="shared" si="2"/>
        <v>94</v>
      </c>
      <c r="B110" s="77"/>
      <c r="C110" s="78"/>
      <c r="D110" s="79"/>
    </row>
    <row r="111" spans="1:4" x14ac:dyDescent="0.25">
      <c r="A111" s="76">
        <f t="shared" si="2"/>
        <v>95</v>
      </c>
      <c r="B111" s="77"/>
      <c r="C111" s="78"/>
      <c r="D111" s="79"/>
    </row>
    <row r="112" spans="1:4" x14ac:dyDescent="0.25">
      <c r="A112" s="76">
        <f t="shared" si="2"/>
        <v>96</v>
      </c>
      <c r="B112" s="77"/>
      <c r="C112" s="78"/>
      <c r="D112" s="79"/>
    </row>
    <row r="113" spans="1:4" x14ac:dyDescent="0.25">
      <c r="A113" s="76">
        <f t="shared" si="2"/>
        <v>97</v>
      </c>
      <c r="B113" s="77"/>
      <c r="C113" s="78"/>
      <c r="D113" s="79"/>
    </row>
    <row r="114" spans="1:4" x14ac:dyDescent="0.25">
      <c r="A114" s="76">
        <f t="shared" ref="A114:A146" si="3">A113+1</f>
        <v>98</v>
      </c>
      <c r="B114" s="77"/>
      <c r="C114" s="78"/>
      <c r="D114" s="79"/>
    </row>
    <row r="115" spans="1:4" x14ac:dyDescent="0.25">
      <c r="A115" s="76">
        <f t="shared" si="3"/>
        <v>99</v>
      </c>
      <c r="B115" s="77"/>
      <c r="C115" s="78"/>
      <c r="D115" s="79"/>
    </row>
    <row r="116" spans="1:4" x14ac:dyDescent="0.25">
      <c r="A116" s="76">
        <f t="shared" si="3"/>
        <v>100</v>
      </c>
      <c r="B116" s="77"/>
      <c r="C116" s="78"/>
      <c r="D116" s="79"/>
    </row>
    <row r="117" spans="1:4" x14ac:dyDescent="0.25">
      <c r="A117" s="76">
        <f t="shared" si="3"/>
        <v>101</v>
      </c>
      <c r="B117" s="77"/>
      <c r="C117" s="78"/>
      <c r="D117" s="79"/>
    </row>
    <row r="118" spans="1:4" x14ac:dyDescent="0.25">
      <c r="A118" s="76">
        <f t="shared" si="3"/>
        <v>102</v>
      </c>
      <c r="B118" s="77"/>
      <c r="C118" s="78"/>
      <c r="D118" s="79"/>
    </row>
    <row r="119" spans="1:4" x14ac:dyDescent="0.25">
      <c r="A119" s="76">
        <f t="shared" si="3"/>
        <v>103</v>
      </c>
      <c r="B119" s="77"/>
      <c r="C119" s="78"/>
      <c r="D119" s="79"/>
    </row>
    <row r="120" spans="1:4" x14ac:dyDescent="0.25">
      <c r="A120" s="76">
        <f t="shared" si="3"/>
        <v>104</v>
      </c>
      <c r="B120" s="77"/>
      <c r="C120" s="78"/>
      <c r="D120" s="79"/>
    </row>
    <row r="121" spans="1:4" x14ac:dyDescent="0.25">
      <c r="A121" s="76">
        <f t="shared" si="3"/>
        <v>105</v>
      </c>
      <c r="B121" s="77"/>
      <c r="C121" s="78"/>
      <c r="D121" s="79"/>
    </row>
    <row r="122" spans="1:4" x14ac:dyDescent="0.25">
      <c r="A122" s="76">
        <f t="shared" si="3"/>
        <v>106</v>
      </c>
      <c r="B122" s="77"/>
      <c r="C122" s="78"/>
      <c r="D122" s="79"/>
    </row>
    <row r="123" spans="1:4" x14ac:dyDescent="0.25">
      <c r="A123" s="76">
        <f t="shared" si="3"/>
        <v>107</v>
      </c>
      <c r="B123" s="77"/>
      <c r="C123" s="78"/>
      <c r="D123" s="79"/>
    </row>
    <row r="124" spans="1:4" x14ac:dyDescent="0.25">
      <c r="A124" s="76">
        <f t="shared" si="3"/>
        <v>108</v>
      </c>
      <c r="B124" s="77"/>
      <c r="C124" s="78"/>
      <c r="D124" s="79"/>
    </row>
    <row r="125" spans="1:4" x14ac:dyDescent="0.25">
      <c r="A125" s="76">
        <f t="shared" si="3"/>
        <v>109</v>
      </c>
      <c r="B125" s="77"/>
      <c r="C125" s="78"/>
      <c r="D125" s="79"/>
    </row>
    <row r="126" spans="1:4" x14ac:dyDescent="0.25">
      <c r="A126" s="76">
        <f t="shared" si="3"/>
        <v>110</v>
      </c>
      <c r="B126" s="77"/>
      <c r="C126" s="78"/>
      <c r="D126" s="79"/>
    </row>
    <row r="127" spans="1:4" x14ac:dyDescent="0.25">
      <c r="A127" s="76">
        <f t="shared" si="3"/>
        <v>111</v>
      </c>
      <c r="B127" s="77"/>
      <c r="C127" s="78"/>
      <c r="D127" s="79"/>
    </row>
    <row r="128" spans="1:4" x14ac:dyDescent="0.25">
      <c r="A128" s="76">
        <f t="shared" si="3"/>
        <v>112</v>
      </c>
      <c r="B128" s="77"/>
      <c r="C128" s="78"/>
      <c r="D128" s="79"/>
    </row>
    <row r="129" spans="1:4" x14ac:dyDescent="0.25">
      <c r="A129" s="76">
        <f t="shared" si="3"/>
        <v>113</v>
      </c>
      <c r="B129" s="77"/>
      <c r="C129" s="78"/>
      <c r="D129" s="79"/>
    </row>
    <row r="130" spans="1:4" x14ac:dyDescent="0.25">
      <c r="A130" s="76">
        <f t="shared" si="3"/>
        <v>114</v>
      </c>
      <c r="B130" s="77"/>
      <c r="C130" s="78"/>
      <c r="D130" s="79"/>
    </row>
    <row r="131" spans="1:4" x14ac:dyDescent="0.25">
      <c r="A131" s="76">
        <f t="shared" si="3"/>
        <v>115</v>
      </c>
      <c r="B131" s="77"/>
      <c r="C131" s="78"/>
      <c r="D131" s="79"/>
    </row>
    <row r="132" spans="1:4" x14ac:dyDescent="0.25">
      <c r="A132" s="76">
        <f t="shared" si="3"/>
        <v>116</v>
      </c>
      <c r="B132" s="77"/>
      <c r="C132" s="78"/>
      <c r="D132" s="79"/>
    </row>
    <row r="133" spans="1:4" x14ac:dyDescent="0.25">
      <c r="A133" s="76">
        <f>A131+1</f>
        <v>116</v>
      </c>
      <c r="B133" s="77"/>
      <c r="C133" s="78"/>
      <c r="D133" s="79"/>
    </row>
    <row r="134" spans="1:4" x14ac:dyDescent="0.25">
      <c r="A134" s="76">
        <f>A132+1</f>
        <v>117</v>
      </c>
      <c r="B134" s="77"/>
      <c r="C134" s="78"/>
      <c r="D134" s="79"/>
    </row>
    <row r="135" spans="1:4" x14ac:dyDescent="0.25">
      <c r="A135" s="76">
        <f>A134+1</f>
        <v>118</v>
      </c>
      <c r="B135" s="77"/>
      <c r="C135" s="78"/>
      <c r="D135" s="79"/>
    </row>
    <row r="136" spans="1:4" x14ac:dyDescent="0.25">
      <c r="A136" s="76">
        <f t="shared" si="3"/>
        <v>119</v>
      </c>
      <c r="B136" s="77"/>
      <c r="C136" s="78"/>
      <c r="D136" s="79"/>
    </row>
    <row r="137" spans="1:4" x14ac:dyDescent="0.25">
      <c r="A137" s="76">
        <f t="shared" si="3"/>
        <v>120</v>
      </c>
      <c r="B137" s="77"/>
      <c r="C137" s="78"/>
      <c r="D137" s="79"/>
    </row>
    <row r="138" spans="1:4" x14ac:dyDescent="0.25">
      <c r="A138" s="76">
        <f t="shared" si="3"/>
        <v>121</v>
      </c>
      <c r="B138" s="77"/>
      <c r="C138" s="78"/>
      <c r="D138" s="79"/>
    </row>
    <row r="139" spans="1:4" x14ac:dyDescent="0.25">
      <c r="A139" s="76">
        <f t="shared" si="3"/>
        <v>122</v>
      </c>
      <c r="B139" s="77"/>
      <c r="C139" s="78"/>
      <c r="D139" s="79"/>
    </row>
    <row r="140" spans="1:4" x14ac:dyDescent="0.25">
      <c r="A140" s="76">
        <f t="shared" si="3"/>
        <v>123</v>
      </c>
      <c r="B140" s="77"/>
      <c r="C140" s="78"/>
      <c r="D140" s="79"/>
    </row>
    <row r="141" spans="1:4" x14ac:dyDescent="0.25">
      <c r="A141" s="76">
        <f t="shared" si="3"/>
        <v>124</v>
      </c>
      <c r="B141" s="77"/>
      <c r="C141" s="78"/>
      <c r="D141" s="79"/>
    </row>
    <row r="142" spans="1:4" x14ac:dyDescent="0.25">
      <c r="A142" s="76">
        <f t="shared" si="3"/>
        <v>125</v>
      </c>
      <c r="B142" s="77"/>
      <c r="C142" s="78"/>
      <c r="D142" s="79"/>
    </row>
    <row r="143" spans="1:4" x14ac:dyDescent="0.25">
      <c r="A143" s="76">
        <f t="shared" si="3"/>
        <v>126</v>
      </c>
      <c r="B143" s="77"/>
      <c r="C143" s="78"/>
      <c r="D143" s="79"/>
    </row>
    <row r="144" spans="1:4" x14ac:dyDescent="0.25">
      <c r="A144" s="76">
        <f t="shared" si="3"/>
        <v>127</v>
      </c>
      <c r="B144" s="77"/>
      <c r="C144" s="78"/>
      <c r="D144" s="79"/>
    </row>
    <row r="145" spans="1:4" x14ac:dyDescent="0.25">
      <c r="A145" s="76">
        <f t="shared" si="3"/>
        <v>128</v>
      </c>
      <c r="B145" s="77"/>
      <c r="C145" s="78"/>
      <c r="D145" s="79"/>
    </row>
    <row r="146" spans="1:4" x14ac:dyDescent="0.25">
      <c r="A146" s="76">
        <f t="shared" si="3"/>
        <v>129</v>
      </c>
      <c r="B146" s="77"/>
      <c r="C146" s="78"/>
      <c r="D146" s="79"/>
    </row>
    <row r="147" spans="1:4" x14ac:dyDescent="0.25">
      <c r="A147" s="76">
        <f t="shared" ref="A147:A178" si="4">A146+1</f>
        <v>130</v>
      </c>
      <c r="B147" s="77"/>
      <c r="C147" s="78"/>
      <c r="D147" s="79"/>
    </row>
    <row r="148" spans="1:4" x14ac:dyDescent="0.25">
      <c r="A148" s="76">
        <f t="shared" si="4"/>
        <v>131</v>
      </c>
      <c r="B148" s="77"/>
      <c r="C148" s="78"/>
      <c r="D148" s="79"/>
    </row>
    <row r="149" spans="1:4" x14ac:dyDescent="0.25">
      <c r="A149" s="76">
        <f t="shared" si="4"/>
        <v>132</v>
      </c>
      <c r="B149" s="77"/>
      <c r="C149" s="78"/>
      <c r="D149" s="79"/>
    </row>
    <row r="150" spans="1:4" x14ac:dyDescent="0.25">
      <c r="A150" s="76">
        <f t="shared" si="4"/>
        <v>133</v>
      </c>
      <c r="B150" s="77"/>
      <c r="C150" s="78"/>
      <c r="D150" s="79"/>
    </row>
    <row r="151" spans="1:4" x14ac:dyDescent="0.25">
      <c r="A151" s="76">
        <f t="shared" si="4"/>
        <v>134</v>
      </c>
      <c r="B151" s="77"/>
      <c r="C151" s="78"/>
      <c r="D151" s="79"/>
    </row>
    <row r="152" spans="1:4" x14ac:dyDescent="0.25">
      <c r="A152" s="76">
        <f t="shared" si="4"/>
        <v>135</v>
      </c>
      <c r="B152" s="77"/>
      <c r="C152" s="78"/>
      <c r="D152" s="79"/>
    </row>
    <row r="153" spans="1:4" x14ac:dyDescent="0.25">
      <c r="A153" s="76">
        <f t="shared" si="4"/>
        <v>136</v>
      </c>
      <c r="B153" s="77"/>
      <c r="C153" s="78"/>
      <c r="D153" s="79"/>
    </row>
    <row r="154" spans="1:4" x14ac:dyDescent="0.25">
      <c r="A154" s="76">
        <f t="shared" si="4"/>
        <v>137</v>
      </c>
      <c r="B154" s="77"/>
      <c r="C154" s="78"/>
      <c r="D154" s="79"/>
    </row>
    <row r="155" spans="1:4" x14ac:dyDescent="0.25">
      <c r="A155" s="76">
        <f t="shared" si="4"/>
        <v>138</v>
      </c>
      <c r="B155" s="77"/>
      <c r="C155" s="78"/>
      <c r="D155" s="79"/>
    </row>
    <row r="156" spans="1:4" x14ac:dyDescent="0.25">
      <c r="A156" s="76">
        <f t="shared" si="4"/>
        <v>139</v>
      </c>
      <c r="B156" s="77"/>
      <c r="C156" s="78"/>
      <c r="D156" s="79"/>
    </row>
    <row r="157" spans="1:4" x14ac:dyDescent="0.25">
      <c r="A157" s="76">
        <f t="shared" si="4"/>
        <v>140</v>
      </c>
      <c r="B157" s="77"/>
      <c r="C157" s="78"/>
      <c r="D157" s="79"/>
    </row>
    <row r="158" spans="1:4" x14ac:dyDescent="0.25">
      <c r="A158" s="76">
        <f t="shared" si="4"/>
        <v>141</v>
      </c>
      <c r="B158" s="77"/>
      <c r="C158" s="78"/>
      <c r="D158" s="79"/>
    </row>
    <row r="159" spans="1:4" x14ac:dyDescent="0.25">
      <c r="A159" s="76">
        <f t="shared" si="4"/>
        <v>142</v>
      </c>
      <c r="B159" s="77"/>
      <c r="C159" s="78"/>
      <c r="D159" s="79"/>
    </row>
    <row r="160" spans="1:4" x14ac:dyDescent="0.25">
      <c r="A160" s="76">
        <f t="shared" si="4"/>
        <v>143</v>
      </c>
      <c r="B160" s="77"/>
      <c r="C160" s="78"/>
      <c r="D160" s="79"/>
    </row>
    <row r="161" spans="1:4" x14ac:dyDescent="0.25">
      <c r="A161" s="76">
        <f t="shared" si="4"/>
        <v>144</v>
      </c>
      <c r="B161" s="77"/>
      <c r="C161" s="78"/>
      <c r="D161" s="79"/>
    </row>
    <row r="162" spans="1:4" x14ac:dyDescent="0.25">
      <c r="A162" s="76">
        <f t="shared" si="4"/>
        <v>145</v>
      </c>
      <c r="B162" s="77"/>
      <c r="C162" s="78"/>
      <c r="D162" s="79"/>
    </row>
    <row r="163" spans="1:4" x14ac:dyDescent="0.25">
      <c r="A163" s="76">
        <f t="shared" si="4"/>
        <v>146</v>
      </c>
      <c r="B163" s="77"/>
      <c r="C163" s="78"/>
      <c r="D163" s="79"/>
    </row>
    <row r="164" spans="1:4" x14ac:dyDescent="0.25">
      <c r="A164" s="76">
        <f t="shared" si="4"/>
        <v>147</v>
      </c>
      <c r="B164" s="77"/>
      <c r="C164" s="78"/>
      <c r="D164" s="79"/>
    </row>
    <row r="165" spans="1:4" x14ac:dyDescent="0.25">
      <c r="A165" s="76">
        <f t="shared" si="4"/>
        <v>148</v>
      </c>
      <c r="B165" s="77"/>
      <c r="C165" s="78"/>
      <c r="D165" s="79"/>
    </row>
    <row r="166" spans="1:4" x14ac:dyDescent="0.25">
      <c r="A166" s="76">
        <f t="shared" si="4"/>
        <v>149</v>
      </c>
      <c r="B166" s="77"/>
      <c r="C166" s="78"/>
      <c r="D166" s="79"/>
    </row>
    <row r="167" spans="1:4" x14ac:dyDescent="0.25">
      <c r="A167" s="76">
        <f t="shared" si="4"/>
        <v>150</v>
      </c>
      <c r="B167" s="77"/>
      <c r="C167" s="78"/>
      <c r="D167" s="79"/>
    </row>
    <row r="168" spans="1:4" x14ac:dyDescent="0.25">
      <c r="A168" s="76">
        <f t="shared" si="4"/>
        <v>151</v>
      </c>
      <c r="B168" s="77"/>
      <c r="C168" s="78"/>
      <c r="D168" s="79"/>
    </row>
    <row r="169" spans="1:4" x14ac:dyDescent="0.25">
      <c r="A169" s="76">
        <f t="shared" si="4"/>
        <v>152</v>
      </c>
      <c r="B169" s="77"/>
      <c r="C169" s="78"/>
      <c r="D169" s="79"/>
    </row>
    <row r="170" spans="1:4" x14ac:dyDescent="0.25">
      <c r="A170" s="76">
        <f t="shared" si="4"/>
        <v>153</v>
      </c>
      <c r="B170" s="77"/>
      <c r="C170" s="78"/>
      <c r="D170" s="79"/>
    </row>
    <row r="171" spans="1:4" x14ac:dyDescent="0.25">
      <c r="A171" s="76">
        <f t="shared" si="4"/>
        <v>154</v>
      </c>
      <c r="B171" s="77"/>
      <c r="C171" s="78"/>
      <c r="D171" s="79"/>
    </row>
    <row r="172" spans="1:4" x14ac:dyDescent="0.25">
      <c r="A172" s="76">
        <f t="shared" si="4"/>
        <v>155</v>
      </c>
      <c r="B172" s="77"/>
      <c r="C172" s="78"/>
      <c r="D172" s="79"/>
    </row>
    <row r="173" spans="1:4" x14ac:dyDescent="0.25">
      <c r="A173" s="76">
        <f t="shared" si="4"/>
        <v>156</v>
      </c>
      <c r="B173" s="77"/>
      <c r="C173" s="78"/>
      <c r="D173" s="79"/>
    </row>
    <row r="174" spans="1:4" x14ac:dyDescent="0.25">
      <c r="A174" s="76">
        <f t="shared" si="4"/>
        <v>157</v>
      </c>
      <c r="B174" s="77"/>
      <c r="C174" s="78"/>
      <c r="D174" s="79"/>
    </row>
    <row r="175" spans="1:4" x14ac:dyDescent="0.25">
      <c r="A175" s="76">
        <f t="shared" si="4"/>
        <v>158</v>
      </c>
      <c r="B175" s="77"/>
      <c r="C175" s="78"/>
      <c r="D175" s="79"/>
    </row>
    <row r="176" spans="1:4" x14ac:dyDescent="0.25">
      <c r="A176" s="76">
        <f t="shared" si="4"/>
        <v>159</v>
      </c>
      <c r="B176" s="77"/>
      <c r="C176" s="78"/>
      <c r="D176" s="79"/>
    </row>
    <row r="177" spans="1:4" x14ac:dyDescent="0.25">
      <c r="A177" s="76">
        <f t="shared" si="4"/>
        <v>160</v>
      </c>
      <c r="B177" s="77"/>
      <c r="C177" s="78"/>
      <c r="D177" s="79"/>
    </row>
    <row r="178" spans="1:4" x14ac:dyDescent="0.25">
      <c r="A178" s="76">
        <f t="shared" si="4"/>
        <v>161</v>
      </c>
      <c r="B178" s="77"/>
      <c r="C178" s="78"/>
      <c r="D178" s="79"/>
    </row>
    <row r="179" spans="1:4" x14ac:dyDescent="0.25">
      <c r="A179" s="76">
        <f t="shared" ref="A179:A187" si="5">A178+1</f>
        <v>162</v>
      </c>
      <c r="B179" s="77"/>
      <c r="C179" s="78"/>
      <c r="D179" s="79"/>
    </row>
    <row r="180" spans="1:4" x14ac:dyDescent="0.25">
      <c r="A180" s="76">
        <f t="shared" si="5"/>
        <v>163</v>
      </c>
      <c r="B180" s="77"/>
      <c r="C180" s="78"/>
      <c r="D180" s="79"/>
    </row>
    <row r="181" spans="1:4" x14ac:dyDescent="0.25">
      <c r="A181" s="76">
        <f t="shared" si="5"/>
        <v>164</v>
      </c>
      <c r="B181" s="77"/>
      <c r="C181" s="78"/>
      <c r="D181" s="79"/>
    </row>
    <row r="182" spans="1:4" x14ac:dyDescent="0.25">
      <c r="A182" s="76">
        <f t="shared" si="5"/>
        <v>165</v>
      </c>
      <c r="B182" s="77"/>
      <c r="C182" s="78"/>
      <c r="D182" s="79"/>
    </row>
    <row r="183" spans="1:4" x14ac:dyDescent="0.25">
      <c r="A183" s="76">
        <f t="shared" si="5"/>
        <v>166</v>
      </c>
      <c r="B183" s="77"/>
      <c r="C183" s="78"/>
      <c r="D183" s="79"/>
    </row>
    <row r="184" spans="1:4" x14ac:dyDescent="0.25">
      <c r="A184" s="76">
        <f t="shared" si="5"/>
        <v>167</v>
      </c>
      <c r="B184" s="77"/>
      <c r="C184" s="78"/>
      <c r="D184" s="79"/>
    </row>
    <row r="185" spans="1:4" x14ac:dyDescent="0.25">
      <c r="A185" s="76">
        <f t="shared" si="5"/>
        <v>168</v>
      </c>
      <c r="B185" s="77"/>
      <c r="C185" s="78"/>
      <c r="D185" s="79"/>
    </row>
    <row r="186" spans="1:4" x14ac:dyDescent="0.25">
      <c r="A186" s="76">
        <f t="shared" si="5"/>
        <v>169</v>
      </c>
      <c r="B186" s="77"/>
      <c r="C186" s="78"/>
      <c r="D186" s="79"/>
    </row>
    <row r="187" spans="1:4" ht="13" thickBot="1" x14ac:dyDescent="0.3">
      <c r="A187" s="80">
        <f t="shared" si="5"/>
        <v>170</v>
      </c>
      <c r="B187" s="81"/>
      <c r="C187" s="82"/>
      <c r="D187" s="83"/>
    </row>
  </sheetData>
  <mergeCells count="9">
    <mergeCell ref="C2:D2"/>
    <mergeCell ref="C3:D3"/>
    <mergeCell ref="C4:D4"/>
    <mergeCell ref="C13:D13"/>
    <mergeCell ref="B9:D9"/>
    <mergeCell ref="C10:D10"/>
    <mergeCell ref="C11:D11"/>
    <mergeCell ref="C12:D12"/>
    <mergeCell ref="A6:D6"/>
  </mergeCells>
  <phoneticPr fontId="0" type="noConversion"/>
  <pageMargins left="0.75" right="0.75" top="1" bottom="1" header="0.5" footer="0.5"/>
  <pageSetup orientation="portrait" horizontalDpi="18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AB181"/>
  <sheetViews>
    <sheetView showGridLines="0" zoomScale="70" zoomScaleNormal="70" workbookViewId="0">
      <selection activeCell="J10" sqref="J10"/>
    </sheetView>
  </sheetViews>
  <sheetFormatPr defaultColWidth="9.1796875" defaultRowHeight="12.5" x14ac:dyDescent="0.25"/>
  <cols>
    <col min="1" max="1" width="3.7265625" style="6" customWidth="1"/>
    <col min="2" max="2" width="47.26953125" style="6" customWidth="1"/>
    <col min="3" max="3" width="8.7265625" style="6" customWidth="1"/>
    <col min="4" max="4" width="12.81640625" style="6" customWidth="1"/>
    <col min="5" max="5" width="8.54296875" style="6" bestFit="1" customWidth="1"/>
    <col min="6" max="6" width="5.7265625" style="6" customWidth="1"/>
    <col min="7" max="7" width="0.54296875" style="6" customWidth="1"/>
    <col min="8" max="8" width="2.7265625" style="6" customWidth="1"/>
    <col min="9" max="9" width="7.7265625" style="6" customWidth="1"/>
    <col min="10" max="10" width="33.54296875" style="6" customWidth="1"/>
    <col min="11" max="12" width="9.7265625" style="6" customWidth="1"/>
    <col min="13" max="14" width="9.1796875" style="6"/>
    <col min="15" max="15" width="32" style="6" customWidth="1"/>
    <col min="16" max="16" width="8.08984375" style="6" customWidth="1"/>
    <col min="17" max="19" width="9.1796875" style="6"/>
    <col min="20" max="20" width="33.7265625" style="6" bestFit="1" customWidth="1"/>
    <col min="21" max="16384" width="9.1796875" style="6"/>
  </cols>
  <sheetData>
    <row r="1" spans="1:28" ht="13.5" thickBot="1" x14ac:dyDescent="0.35">
      <c r="A1" s="186" t="s">
        <v>26</v>
      </c>
      <c r="B1" s="187"/>
      <c r="C1" s="187"/>
      <c r="D1" s="187"/>
      <c r="E1" s="187"/>
      <c r="F1" s="187"/>
      <c r="G1" s="187"/>
      <c r="H1" s="187"/>
      <c r="I1" s="187"/>
      <c r="J1" s="187"/>
      <c r="K1" s="187"/>
      <c r="L1" s="188"/>
      <c r="AA1" s="145" t="s">
        <v>165</v>
      </c>
      <c r="AB1" s="145" t="s">
        <v>165</v>
      </c>
    </row>
    <row r="2" spans="1:28" x14ac:dyDescent="0.25">
      <c r="AA2" s="145" t="s">
        <v>165</v>
      </c>
      <c r="AB2" s="145" t="s">
        <v>165</v>
      </c>
    </row>
    <row r="3" spans="1:28" x14ac:dyDescent="0.25">
      <c r="B3" s="109" t="s">
        <v>62</v>
      </c>
      <c r="C3" s="192" t="s">
        <v>8</v>
      </c>
      <c r="D3" s="193"/>
      <c r="I3" s="190" t="s">
        <v>184</v>
      </c>
      <c r="J3" s="191"/>
      <c r="K3" s="192" t="s">
        <v>65</v>
      </c>
      <c r="L3" s="193"/>
    </row>
    <row r="4" spans="1:28" x14ac:dyDescent="0.25">
      <c r="B4" s="109" t="s">
        <v>63</v>
      </c>
      <c r="C4" s="192" t="s">
        <v>6</v>
      </c>
      <c r="D4" s="193"/>
      <c r="I4" s="190" t="s">
        <v>64</v>
      </c>
      <c r="J4" s="191"/>
      <c r="K4" s="192" t="s">
        <v>66</v>
      </c>
      <c r="L4" s="193"/>
    </row>
    <row r="6" spans="1:28" ht="13" thickBot="1" x14ac:dyDescent="0.3"/>
    <row r="7" spans="1:28" ht="15" x14ac:dyDescent="0.3">
      <c r="A7" s="1"/>
      <c r="B7" s="2" t="str">
        <f>Timesheet!B7</f>
        <v>ENTER ROLE HERE</v>
      </c>
      <c r="C7" s="3" t="str">
        <f>Timesheet!C7</f>
        <v>(Role of observed person)</v>
      </c>
      <c r="D7" s="4"/>
      <c r="E7" s="4"/>
      <c r="F7" s="5"/>
      <c r="I7" s="1"/>
      <c r="J7" s="2" t="str">
        <f>B7</f>
        <v>ENTER ROLE HERE</v>
      </c>
      <c r="K7" s="3" t="str">
        <f>C7</f>
        <v>(Role of observed person)</v>
      </c>
      <c r="L7" s="5"/>
    </row>
    <row r="8" spans="1:28" ht="13" x14ac:dyDescent="0.3">
      <c r="A8" s="7"/>
      <c r="B8" s="8" t="str">
        <f>Timesheet!B8</f>
        <v>ENTER DATE HERE</v>
      </c>
      <c r="C8" s="9" t="str">
        <f>Timesheet!C8</f>
        <v>(Date)</v>
      </c>
      <c r="F8" s="10"/>
      <c r="I8" s="7"/>
      <c r="J8" s="11" t="str">
        <f>B8</f>
        <v>ENTER DATE HERE</v>
      </c>
      <c r="K8" s="9" t="str">
        <f>C8</f>
        <v>(Date)</v>
      </c>
      <c r="L8" s="10"/>
      <c r="N8" s="195" t="s">
        <v>57</v>
      </c>
      <c r="O8" s="195"/>
      <c r="P8" s="195"/>
      <c r="Q8" s="195"/>
      <c r="R8" s="195"/>
      <c r="S8" s="195"/>
      <c r="T8" s="195"/>
    </row>
    <row r="9" spans="1:28" ht="13.5" thickBot="1" x14ac:dyDescent="0.35">
      <c r="A9" s="12"/>
      <c r="B9" s="13"/>
      <c r="C9" s="14"/>
      <c r="D9" s="15"/>
      <c r="E9" s="15"/>
      <c r="F9" s="16"/>
      <c r="I9" s="7"/>
      <c r="J9" s="17"/>
      <c r="L9" s="10"/>
      <c r="N9" s="196" t="s">
        <v>58</v>
      </c>
      <c r="O9" s="196"/>
    </row>
    <row r="10" spans="1:28" ht="15" x14ac:dyDescent="0.3">
      <c r="A10" s="18"/>
      <c r="B10" s="19" t="str">
        <f>+Timesheet!B15</f>
        <v>Description of the</v>
      </c>
      <c r="C10" s="19" t="s">
        <v>16</v>
      </c>
      <c r="D10" s="19" t="s">
        <v>18</v>
      </c>
      <c r="E10" s="200" t="s">
        <v>3</v>
      </c>
      <c r="F10" s="201"/>
      <c r="G10" s="21"/>
      <c r="I10" s="22"/>
      <c r="J10" s="23" t="s">
        <v>19</v>
      </c>
      <c r="K10" s="24" t="s">
        <v>18</v>
      </c>
      <c r="L10" s="25" t="s">
        <v>21</v>
      </c>
      <c r="P10" s="104" t="s">
        <v>55</v>
      </c>
      <c r="Q10" s="105" t="str">
        <f>VA_name</f>
        <v>VA</v>
      </c>
      <c r="R10" s="105" t="str">
        <f>_xlfn.CONCAT(VA_name,"/",NVA_name)</f>
        <v>VA/NVA</v>
      </c>
      <c r="S10" s="105" t="str">
        <f>NVA_name</f>
        <v>NVA</v>
      </c>
      <c r="T10" s="108" t="s">
        <v>56</v>
      </c>
    </row>
    <row r="11" spans="1:28" ht="15.5" thickBot="1" x14ac:dyDescent="0.35">
      <c r="A11" s="18"/>
      <c r="B11" s="26" t="str">
        <f>+Timesheet!B16</f>
        <v>Activities</v>
      </c>
      <c r="C11" s="26" t="s">
        <v>17</v>
      </c>
      <c r="D11" s="20"/>
      <c r="E11" s="27" t="s">
        <v>1</v>
      </c>
      <c r="F11" s="27" t="s">
        <v>4</v>
      </c>
      <c r="G11" s="28"/>
      <c r="I11" s="29" t="s">
        <v>3</v>
      </c>
      <c r="J11" s="30" t="s">
        <v>20</v>
      </c>
      <c r="K11" s="31" t="s">
        <v>1</v>
      </c>
      <c r="L11" s="32" t="s">
        <v>17</v>
      </c>
      <c r="N11" s="194" t="str">
        <f>VA_name</f>
        <v>VA</v>
      </c>
      <c r="O11" s="34" t="str">
        <f t="shared" ref="O11:O20" si="0">IF(J34&lt;&gt;"",J34,"")</f>
        <v>Operating tasks</v>
      </c>
      <c r="P11" s="152">
        <f>RANK(Q11,$Q$11:$Q$20)+COUNTIF(Q$11:Q11,Q11)-1</f>
        <v>2</v>
      </c>
      <c r="Q11" s="45">
        <f t="shared" ref="Q11:Q20" si="1">L34</f>
        <v>0.16535433070866121</v>
      </c>
      <c r="R11" s="87"/>
      <c r="S11" s="87"/>
      <c r="T11" s="34" t="str">
        <f>O11</f>
        <v>Operating tasks</v>
      </c>
    </row>
    <row r="12" spans="1:28" x14ac:dyDescent="0.25">
      <c r="A12" s="33">
        <v>1</v>
      </c>
      <c r="B12" s="34" t="str">
        <f>Timesheet!B17</f>
        <v>Activity 1</v>
      </c>
      <c r="C12" s="35">
        <f>Timesheet!C17</f>
        <v>0.20833333333333334</v>
      </c>
      <c r="D12" s="36">
        <f>IF(C13=0,0,C13-C12)</f>
        <v>0</v>
      </c>
      <c r="E12" s="84" t="str">
        <f>IF(LEFT(F12,1)="1","N",IF(LEFT(F12,1)="2","V",""))</f>
        <v/>
      </c>
      <c r="F12" s="60"/>
      <c r="G12" s="37">
        <f>D12</f>
        <v>0</v>
      </c>
      <c r="I12" s="38" t="s">
        <v>9</v>
      </c>
      <c r="J12" s="149" t="s">
        <v>39</v>
      </c>
      <c r="K12" s="39">
        <f>SUMIF($E$12:$E$181,"V",$D$12:$D$181)</f>
        <v>0.17638888888888882</v>
      </c>
      <c r="L12" s="40">
        <f>IF($K$14=0,0,K12/$K$14)</f>
        <v>0.52916666666666634</v>
      </c>
      <c r="N12" s="194"/>
      <c r="O12" s="34" t="str">
        <f t="shared" si="0"/>
        <v>Preparation and security</v>
      </c>
      <c r="P12" s="152">
        <f>RANK(Q12,$Q$11:$Q$20)+COUNTIF(Q$11:Q12,Q12)-1</f>
        <v>3</v>
      </c>
      <c r="Q12" s="45">
        <f t="shared" si="1"/>
        <v>0.15354330708661432</v>
      </c>
      <c r="R12" s="87"/>
      <c r="S12" s="87"/>
      <c r="T12" s="34" t="str">
        <f t="shared" ref="T12:T32" si="2">O12</f>
        <v>Preparation and security</v>
      </c>
    </row>
    <row r="13" spans="1:28" ht="13" thickBot="1" x14ac:dyDescent="0.3">
      <c r="A13" s="33">
        <f>A12+1</f>
        <v>2</v>
      </c>
      <c r="B13" s="34" t="str">
        <f>Timesheet!B18</f>
        <v>Activity 2</v>
      </c>
      <c r="C13" s="35">
        <f>Timesheet!C18</f>
        <v>0.20833333333333334</v>
      </c>
      <c r="D13" s="36">
        <f t="shared" ref="D13:D76" si="3">IF(C14=0,0,C14-C13)</f>
        <v>6.9444444444444475E-3</v>
      </c>
      <c r="E13" s="84" t="str">
        <f>IF(LEFT(F13,1)="1","N",IF(LEFT(F13,1)="2","V",""))</f>
        <v>V</v>
      </c>
      <c r="F13" s="61">
        <v>21</v>
      </c>
      <c r="G13" s="37">
        <f t="shared" ref="G13:G76" si="4">D13</f>
        <v>6.9444444444444475E-3</v>
      </c>
      <c r="I13" s="41" t="s">
        <v>0</v>
      </c>
      <c r="J13" s="150" t="s">
        <v>40</v>
      </c>
      <c r="K13" s="43">
        <f>SUMIF($E$12:$E$181,"N",$D$12:$D$181)</f>
        <v>0.15694444444444453</v>
      </c>
      <c r="L13" s="44">
        <f>IF($K$14=0,0,K13/$K$14)</f>
        <v>0.47083333333333355</v>
      </c>
      <c r="N13" s="194"/>
      <c r="O13" s="34" t="str">
        <f t="shared" si="0"/>
        <v>Auto maintenance/1st level diagnosis</v>
      </c>
      <c r="P13" s="152">
        <f>RANK(Q13,$Q$11:$Q$20)+COUNTIF(Q$11:Q13,Q13)-1</f>
        <v>1</v>
      </c>
      <c r="Q13" s="45">
        <f t="shared" si="1"/>
        <v>0.20472440944881951</v>
      </c>
      <c r="R13" s="87"/>
      <c r="S13" s="87"/>
      <c r="T13" s="34" t="str">
        <f t="shared" si="2"/>
        <v>Auto maintenance/1st level diagnosis</v>
      </c>
    </row>
    <row r="14" spans="1:28" ht="13" x14ac:dyDescent="0.3">
      <c r="A14" s="33">
        <f t="shared" ref="A14:A57" si="5">A13+1</f>
        <v>3</v>
      </c>
      <c r="B14" s="34" t="str">
        <f>Timesheet!B19</f>
        <v>Activity 3</v>
      </c>
      <c r="C14" s="35">
        <f>Timesheet!C19</f>
        <v>0.21527777777777779</v>
      </c>
      <c r="D14" s="36">
        <f t="shared" si="3"/>
        <v>2.7777777777777679E-3</v>
      </c>
      <c r="E14" s="84" t="str">
        <f t="shared" ref="E14:E76" si="6">IF(LEFT(F14,1)="1","N",IF(LEFT(F14,1)="2","V",""))</f>
        <v>V</v>
      </c>
      <c r="F14" s="61">
        <v>21</v>
      </c>
      <c r="G14" s="37">
        <f t="shared" si="4"/>
        <v>2.7777777777777679E-3</v>
      </c>
      <c r="J14" s="46" t="s">
        <v>5</v>
      </c>
      <c r="K14" s="47">
        <f>SUM(K12:K13)</f>
        <v>0.33333333333333337</v>
      </c>
      <c r="N14" s="194"/>
      <c r="O14" s="34" t="str">
        <f t="shared" si="0"/>
        <v>Cleaning</v>
      </c>
      <c r="P14" s="152">
        <f>RANK(Q14,$Q$11:$Q$20)+COUNTIF(Q$11:Q14,Q14)-1</f>
        <v>7</v>
      </c>
      <c r="Q14" s="45">
        <f t="shared" si="1"/>
        <v>8.267716535433077E-2</v>
      </c>
      <c r="R14" s="87"/>
      <c r="S14" s="87"/>
      <c r="T14" s="34" t="str">
        <f t="shared" si="2"/>
        <v>Cleaning</v>
      </c>
    </row>
    <row r="15" spans="1:28" ht="12.75" customHeight="1" thickBot="1" x14ac:dyDescent="0.3">
      <c r="A15" s="33">
        <f t="shared" si="5"/>
        <v>4</v>
      </c>
      <c r="B15" s="34" t="str">
        <f>Timesheet!B20</f>
        <v>Activity 4</v>
      </c>
      <c r="C15" s="35">
        <f>Timesheet!C20</f>
        <v>0.21805555555555556</v>
      </c>
      <c r="D15" s="36">
        <f t="shared" si="3"/>
        <v>6.9444444444444198E-4</v>
      </c>
      <c r="E15" s="84" t="str">
        <f t="shared" si="6"/>
        <v>N</v>
      </c>
      <c r="F15" s="61">
        <v>13</v>
      </c>
      <c r="G15" s="37">
        <f t="shared" si="4"/>
        <v>6.9444444444444198E-4</v>
      </c>
      <c r="N15" s="194"/>
      <c r="O15" s="34" t="str">
        <f t="shared" si="0"/>
        <v>Equipment control</v>
      </c>
      <c r="P15" s="152">
        <f>RANK(Q15,$Q$11:$Q$20)+COUNTIF(Q$11:Q15,Q15)-1</f>
        <v>8</v>
      </c>
      <c r="Q15" s="45">
        <f t="shared" si="1"/>
        <v>6.692913385826782E-2</v>
      </c>
      <c r="R15" s="87"/>
      <c r="S15" s="87"/>
      <c r="T15" s="34" t="str">
        <f t="shared" si="2"/>
        <v>Equipment control</v>
      </c>
    </row>
    <row r="16" spans="1:28" ht="12.75" customHeight="1" thickBot="1" x14ac:dyDescent="0.35">
      <c r="A16" s="33">
        <f t="shared" si="5"/>
        <v>5</v>
      </c>
      <c r="B16" s="34" t="str">
        <f>Timesheet!B21</f>
        <v>Activity 5</v>
      </c>
      <c r="C16" s="35">
        <f>Timesheet!C21</f>
        <v>0.21875</v>
      </c>
      <c r="D16" s="36">
        <f t="shared" si="3"/>
        <v>4.1666666666666519E-3</v>
      </c>
      <c r="E16" s="84" t="str">
        <f t="shared" si="6"/>
        <v>N</v>
      </c>
      <c r="F16" s="61">
        <v>14</v>
      </c>
      <c r="G16" s="37">
        <f t="shared" si="4"/>
        <v>4.1666666666666519E-3</v>
      </c>
      <c r="I16" s="197" t="str">
        <f>NVA_name</f>
        <v>NVA</v>
      </c>
      <c r="J16" s="198"/>
      <c r="K16" s="198"/>
      <c r="L16" s="199"/>
      <c r="N16" s="194"/>
      <c r="O16" s="34" t="str">
        <f t="shared" si="0"/>
        <v>Equipment test and tune up</v>
      </c>
      <c r="P16" s="152">
        <f>RANK(Q16,$Q$11:$Q$20)+COUNTIF(Q$11:Q16,Q16)-1</f>
        <v>5</v>
      </c>
      <c r="Q16" s="45">
        <f t="shared" si="1"/>
        <v>9.8425196850393387E-2</v>
      </c>
      <c r="R16" s="87"/>
      <c r="S16" s="87"/>
      <c r="T16" s="34" t="str">
        <f t="shared" si="2"/>
        <v>Equipment test and tune up</v>
      </c>
    </row>
    <row r="17" spans="1:20" ht="15" x14ac:dyDescent="0.3">
      <c r="A17" s="33">
        <f t="shared" si="5"/>
        <v>6</v>
      </c>
      <c r="B17" s="34" t="str">
        <f>Timesheet!B22</f>
        <v>Activity 6</v>
      </c>
      <c r="C17" s="35">
        <f>Timesheet!C22</f>
        <v>0.22291666666666665</v>
      </c>
      <c r="D17" s="36">
        <f t="shared" si="3"/>
        <v>2.7777777777777957E-3</v>
      </c>
      <c r="E17" s="84" t="str">
        <f t="shared" si="6"/>
        <v>N</v>
      </c>
      <c r="F17" s="61">
        <v>12</v>
      </c>
      <c r="G17" s="37">
        <f t="shared" si="4"/>
        <v>2.7777777777777957E-3</v>
      </c>
      <c r="I17" s="22"/>
      <c r="J17" s="23" t="s">
        <v>7</v>
      </c>
      <c r="K17" s="24" t="str">
        <f>K10</f>
        <v>Duration</v>
      </c>
      <c r="L17" s="25" t="str">
        <f>L10</f>
        <v>% of</v>
      </c>
      <c r="N17" s="194"/>
      <c r="O17" s="34" t="str">
        <f t="shared" si="0"/>
        <v>Quality test</v>
      </c>
      <c r="P17" s="152">
        <f>RANK(Q17,$Q$11:$Q$20)+COUNTIF(Q$11:Q17,Q17)-1</f>
        <v>6</v>
      </c>
      <c r="Q17" s="45">
        <f t="shared" si="1"/>
        <v>8.6614173228345873E-2</v>
      </c>
      <c r="R17" s="87"/>
      <c r="S17" s="87"/>
      <c r="T17" s="34" t="str">
        <f t="shared" si="2"/>
        <v>Quality test</v>
      </c>
    </row>
    <row r="18" spans="1:20" ht="15.5" thickBot="1" x14ac:dyDescent="0.35">
      <c r="A18" s="33">
        <f t="shared" si="5"/>
        <v>7</v>
      </c>
      <c r="B18" s="34" t="str">
        <f>Timesheet!B23</f>
        <v>Activity 7</v>
      </c>
      <c r="C18" s="35">
        <f>Timesheet!C23</f>
        <v>0.22569444444444445</v>
      </c>
      <c r="D18" s="36">
        <f t="shared" si="3"/>
        <v>6.2499999999999778E-3</v>
      </c>
      <c r="E18" s="84" t="str">
        <f t="shared" si="6"/>
        <v>N</v>
      </c>
      <c r="F18" s="61">
        <v>19</v>
      </c>
      <c r="G18" s="37">
        <f t="shared" si="4"/>
        <v>6.2499999999999778E-3</v>
      </c>
      <c r="I18" s="29" t="s">
        <v>3</v>
      </c>
      <c r="J18" s="20" t="s">
        <v>4</v>
      </c>
      <c r="K18" s="31" t="str">
        <f>K11</f>
        <v>Categ.</v>
      </c>
      <c r="L18" s="32" t="str">
        <f>L11</f>
        <v>time</v>
      </c>
      <c r="N18" s="194"/>
      <c r="O18" s="34" t="str">
        <f t="shared" si="0"/>
        <v>Calling/alerting for issues</v>
      </c>
      <c r="P18" s="152">
        <f>RANK(Q18,$Q$11:$Q$20)+COUNTIF(Q$11:Q18,Q18)-1</f>
        <v>9</v>
      </c>
      <c r="Q18" s="45">
        <f t="shared" si="1"/>
        <v>4.3307086614173089E-2</v>
      </c>
      <c r="R18" s="87"/>
      <c r="S18" s="87"/>
      <c r="T18" s="34" t="str">
        <f t="shared" si="2"/>
        <v>Calling/alerting for issues</v>
      </c>
    </row>
    <row r="19" spans="1:20" x14ac:dyDescent="0.25">
      <c r="A19" s="33">
        <f t="shared" si="5"/>
        <v>8</v>
      </c>
      <c r="B19" s="34" t="str">
        <f>Timesheet!B24</f>
        <v>Activity 8</v>
      </c>
      <c r="C19" s="35">
        <f>Timesheet!C24</f>
        <v>0.23194444444444443</v>
      </c>
      <c r="D19" s="36">
        <f t="shared" si="3"/>
        <v>6.9444444444444198E-4</v>
      </c>
      <c r="E19" s="84" t="str">
        <f t="shared" si="6"/>
        <v>N</v>
      </c>
      <c r="F19" s="61">
        <v>18</v>
      </c>
      <c r="G19" s="37">
        <f t="shared" si="4"/>
        <v>6.9444444444444198E-4</v>
      </c>
      <c r="I19" s="48">
        <v>11</v>
      </c>
      <c r="J19" s="85" t="s">
        <v>24</v>
      </c>
      <c r="K19" s="49">
        <f>SUMIF($F$12:$F$181,"11",$G$12:$G$181)</f>
        <v>2.4999999999999967E-2</v>
      </c>
      <c r="L19" s="50">
        <f t="shared" ref="L19:L28" si="7">IF($K$29=0,0,K19/$K$29)</f>
        <v>0.15929203539822978</v>
      </c>
      <c r="M19" s="51"/>
      <c r="N19" s="194"/>
      <c r="O19" s="34" t="str">
        <f t="shared" si="0"/>
        <v>Active meetings/workshops</v>
      </c>
      <c r="P19" s="152">
        <f>RANK(Q19,$Q$11:$Q$20)+COUNTIF(Q$11:Q19,Q19)-1</f>
        <v>4</v>
      </c>
      <c r="Q19" s="45">
        <f t="shared" si="1"/>
        <v>9.8425196850394026E-2</v>
      </c>
      <c r="R19" s="87"/>
      <c r="S19" s="87"/>
      <c r="T19" s="34" t="str">
        <f t="shared" si="2"/>
        <v>Active meetings/workshops</v>
      </c>
    </row>
    <row r="20" spans="1:20" x14ac:dyDescent="0.25">
      <c r="A20" s="33">
        <f t="shared" si="5"/>
        <v>9</v>
      </c>
      <c r="B20" s="34" t="str">
        <f>Timesheet!B25</f>
        <v>Activity 9</v>
      </c>
      <c r="C20" s="35">
        <f>Timesheet!C25</f>
        <v>0.23263888888888887</v>
      </c>
      <c r="D20" s="36">
        <f t="shared" si="3"/>
        <v>9.7222222222222432E-3</v>
      </c>
      <c r="E20" s="84" t="str">
        <f t="shared" si="6"/>
        <v>V</v>
      </c>
      <c r="F20" s="61">
        <v>22</v>
      </c>
      <c r="G20" s="37">
        <f t="shared" si="4"/>
        <v>9.7222222222222432E-3</v>
      </c>
      <c r="I20" s="52">
        <v>12</v>
      </c>
      <c r="J20" s="86" t="s">
        <v>42</v>
      </c>
      <c r="K20" s="53">
        <f>SUMIF($F$12:$F$181,"12",$G$12:$G$181)</f>
        <v>1.3194444444444481E-2</v>
      </c>
      <c r="L20" s="54">
        <f t="shared" si="7"/>
        <v>8.4070796460177177E-2</v>
      </c>
      <c r="N20" s="194"/>
      <c r="O20" s="34" t="str">
        <f t="shared" si="0"/>
        <v/>
      </c>
      <c r="P20" s="152">
        <f>RANK(Q20,$Q$11:$Q$20)+COUNTIF(Q$11:Q20,Q20)-1</f>
        <v>10</v>
      </c>
      <c r="Q20" s="45">
        <f t="shared" si="1"/>
        <v>0</v>
      </c>
      <c r="R20" s="87"/>
      <c r="S20" s="87"/>
      <c r="T20" s="34" t="str">
        <f t="shared" si="2"/>
        <v/>
      </c>
    </row>
    <row r="21" spans="1:20" x14ac:dyDescent="0.25">
      <c r="A21" s="33">
        <f t="shared" si="5"/>
        <v>10</v>
      </c>
      <c r="B21" s="34" t="str">
        <f>Timesheet!B26</f>
        <v>Activity 10</v>
      </c>
      <c r="C21" s="35">
        <f>Timesheet!C26</f>
        <v>0.24236111111111111</v>
      </c>
      <c r="D21" s="36">
        <f t="shared" si="3"/>
        <v>6.9444444444444198E-4</v>
      </c>
      <c r="E21" s="84" t="str">
        <f t="shared" si="6"/>
        <v>N</v>
      </c>
      <c r="F21" s="61">
        <v>19</v>
      </c>
      <c r="G21" s="37">
        <f t="shared" si="4"/>
        <v>6.9444444444444198E-4</v>
      </c>
      <c r="I21" s="52">
        <v>13</v>
      </c>
      <c r="J21" s="86" t="s">
        <v>43</v>
      </c>
      <c r="K21" s="53">
        <f>SUMIF($F$12:$F$181,"13",$G$12:$G$181)</f>
        <v>2.3611111111111027E-2</v>
      </c>
      <c r="L21" s="54">
        <f t="shared" si="7"/>
        <v>0.1504424778761056</v>
      </c>
      <c r="N21" s="194" t="str">
        <f>_xlfn.CONCAT(VA_name,"/",NVA_name)</f>
        <v>VA/NVA</v>
      </c>
      <c r="O21" s="34" t="str">
        <f>VA_name</f>
        <v>VA</v>
      </c>
      <c r="Q21" s="87"/>
      <c r="R21" s="45">
        <f>L12</f>
        <v>0.52916666666666634</v>
      </c>
      <c r="S21" s="87"/>
      <c r="T21" s="34" t="str">
        <f t="shared" si="2"/>
        <v>VA</v>
      </c>
    </row>
    <row r="22" spans="1:20" x14ac:dyDescent="0.25">
      <c r="A22" s="33">
        <f t="shared" si="5"/>
        <v>11</v>
      </c>
      <c r="B22" s="34" t="str">
        <f>Timesheet!B27</f>
        <v>Activity 11</v>
      </c>
      <c r="C22" s="35">
        <f>Timesheet!C27</f>
        <v>0.24305555555555555</v>
      </c>
      <c r="D22" s="36">
        <f t="shared" si="3"/>
        <v>3.4722222222222376E-3</v>
      </c>
      <c r="E22" s="84" t="str">
        <f t="shared" si="6"/>
        <v>V</v>
      </c>
      <c r="F22" s="61">
        <v>21</v>
      </c>
      <c r="G22" s="37">
        <f t="shared" si="4"/>
        <v>3.4722222222222376E-3</v>
      </c>
      <c r="I22" s="52">
        <v>14</v>
      </c>
      <c r="J22" s="86" t="s">
        <v>23</v>
      </c>
      <c r="K22" s="53">
        <f>SUMIF($F$12:$F$181,"14",$G$12:$G$181)</f>
        <v>1.8055555555555547E-2</v>
      </c>
      <c r="L22" s="54">
        <f t="shared" si="7"/>
        <v>0.11504424778761051</v>
      </c>
      <c r="N22" s="194"/>
      <c r="O22" s="34" t="str">
        <f>NVA_name</f>
        <v>NVA</v>
      </c>
      <c r="Q22" s="87"/>
      <c r="R22" s="45">
        <f>L13</f>
        <v>0.47083333333333355</v>
      </c>
      <c r="S22" s="87"/>
      <c r="T22" s="34" t="str">
        <f t="shared" si="2"/>
        <v>NVA</v>
      </c>
    </row>
    <row r="23" spans="1:20" x14ac:dyDescent="0.25">
      <c r="A23" s="33">
        <f t="shared" si="5"/>
        <v>12</v>
      </c>
      <c r="B23" s="34" t="str">
        <f>Timesheet!B28</f>
        <v>Activity 12</v>
      </c>
      <c r="C23" s="35">
        <f>Timesheet!C28</f>
        <v>0.24652777777777779</v>
      </c>
      <c r="D23" s="36">
        <f t="shared" si="3"/>
        <v>1.7361111111111105E-2</v>
      </c>
      <c r="E23" s="84" t="str">
        <f t="shared" si="6"/>
        <v>V</v>
      </c>
      <c r="F23" s="61">
        <v>22</v>
      </c>
      <c r="G23" s="37">
        <f t="shared" si="4"/>
        <v>1.7361111111111105E-2</v>
      </c>
      <c r="I23" s="52">
        <v>15</v>
      </c>
      <c r="J23" s="86" t="s">
        <v>35</v>
      </c>
      <c r="K23" s="53">
        <f>SUMIF($F$12:$F$181,"15",$G$12:$G$181)</f>
        <v>2.1527777777777923E-2</v>
      </c>
      <c r="L23" s="54">
        <f t="shared" si="7"/>
        <v>0.13716814159292121</v>
      </c>
      <c r="N23" s="194" t="str">
        <f>NVA_name</f>
        <v>NVA</v>
      </c>
      <c r="O23" s="34" t="str">
        <f>IF(J19&lt;&gt;"",J19,"")</f>
        <v>Available</v>
      </c>
      <c r="P23" s="152">
        <f>RANK(S23,$S$23:$S$32)+COUNTIF(S$23:S23,S23)-1</f>
        <v>1</v>
      </c>
      <c r="Q23" s="87"/>
      <c r="R23" s="87"/>
      <c r="S23" s="45">
        <f t="shared" ref="S23:S32" si="8">L19</f>
        <v>0.15929203539822978</v>
      </c>
      <c r="T23" s="34" t="str">
        <f t="shared" si="2"/>
        <v>Available</v>
      </c>
    </row>
    <row r="24" spans="1:20" x14ac:dyDescent="0.25">
      <c r="A24" s="33">
        <f t="shared" si="5"/>
        <v>13</v>
      </c>
      <c r="B24" s="34" t="str">
        <f>Timesheet!B29</f>
        <v>Activity 13</v>
      </c>
      <c r="C24" s="35">
        <f>Timesheet!C29</f>
        <v>0.2638888888888889</v>
      </c>
      <c r="D24" s="36">
        <f t="shared" si="3"/>
        <v>6.9444444444444198E-4</v>
      </c>
      <c r="E24" s="84" t="str">
        <f t="shared" si="6"/>
        <v>V</v>
      </c>
      <c r="F24" s="61">
        <v>28</v>
      </c>
      <c r="G24" s="37">
        <f t="shared" si="4"/>
        <v>6.9444444444444198E-4</v>
      </c>
      <c r="I24" s="52">
        <v>16</v>
      </c>
      <c r="J24" s="86" t="s">
        <v>44</v>
      </c>
      <c r="K24" s="53">
        <f>SUMIF($F$12:$F$181,"16",$G$12:$G$181)</f>
        <v>4.8611111111111494E-3</v>
      </c>
      <c r="L24" s="54">
        <f t="shared" si="7"/>
        <v>3.0973451327433857E-2</v>
      </c>
      <c r="N24" s="194"/>
      <c r="O24" s="34" t="str">
        <f t="shared" ref="O24:O32" si="9">IF(J20&lt;&gt;"",J20,"")</f>
        <v>Administrative tasks/keing reporting data</v>
      </c>
      <c r="P24" s="152">
        <f>RANK(S24,$S$23:$S$32)+COUNTIF(S$23:S24,S24)-1</f>
        <v>7</v>
      </c>
      <c r="Q24" s="87"/>
      <c r="R24" s="87"/>
      <c r="S24" s="45">
        <f t="shared" si="8"/>
        <v>8.4070796460177177E-2</v>
      </c>
      <c r="T24" s="34" t="str">
        <f t="shared" si="2"/>
        <v>Administrative tasks/keing reporting data</v>
      </c>
    </row>
    <row r="25" spans="1:20" x14ac:dyDescent="0.25">
      <c r="A25" s="33">
        <f t="shared" si="5"/>
        <v>14</v>
      </c>
      <c r="B25" s="34" t="str">
        <f>Timesheet!B30</f>
        <v>Activity 14</v>
      </c>
      <c r="C25" s="35">
        <f>Timesheet!C30</f>
        <v>0.26458333333333334</v>
      </c>
      <c r="D25" s="36">
        <f t="shared" si="3"/>
        <v>1.388888888888884E-3</v>
      </c>
      <c r="E25" s="84" t="str">
        <f t="shared" si="6"/>
        <v>N</v>
      </c>
      <c r="F25" s="61">
        <v>13</v>
      </c>
      <c r="G25" s="37">
        <f t="shared" si="4"/>
        <v>1.388888888888884E-3</v>
      </c>
      <c r="I25" s="55">
        <v>17</v>
      </c>
      <c r="J25" s="86" t="s">
        <v>27</v>
      </c>
      <c r="K25" s="53">
        <f>SUMIF($F$12:$F$181,"17",$G$12:$G$181)</f>
        <v>1.1805555555555569E-2</v>
      </c>
      <c r="L25" s="54">
        <f t="shared" si="7"/>
        <v>7.5221238938053145E-2</v>
      </c>
      <c r="N25" s="194"/>
      <c r="O25" s="34" t="str">
        <f t="shared" si="9"/>
        <v>Waiting</v>
      </c>
      <c r="P25" s="152">
        <f>RANK(S25,$S$23:$S$32)+COUNTIF(S$23:S25,S25)-1</f>
        <v>2</v>
      </c>
      <c r="Q25" s="87"/>
      <c r="R25" s="87"/>
      <c r="S25" s="45">
        <f t="shared" si="8"/>
        <v>0.1504424778761056</v>
      </c>
      <c r="T25" s="34" t="str">
        <f t="shared" si="2"/>
        <v>Waiting</v>
      </c>
    </row>
    <row r="26" spans="1:20" x14ac:dyDescent="0.25">
      <c r="A26" s="33">
        <f t="shared" si="5"/>
        <v>15</v>
      </c>
      <c r="B26" s="34" t="str">
        <f>Timesheet!B31</f>
        <v>Activity 15</v>
      </c>
      <c r="C26" s="35">
        <f>Timesheet!C31</f>
        <v>0.26597222222222222</v>
      </c>
      <c r="D26" s="36">
        <f t="shared" si="3"/>
        <v>4.8611111111110938E-3</v>
      </c>
      <c r="E26" s="84" t="str">
        <f t="shared" si="6"/>
        <v>N</v>
      </c>
      <c r="F26" s="61">
        <v>15</v>
      </c>
      <c r="G26" s="37">
        <f t="shared" si="4"/>
        <v>4.8611111111110938E-3</v>
      </c>
      <c r="I26" s="52">
        <v>18</v>
      </c>
      <c r="J26" s="86" t="s">
        <v>45</v>
      </c>
      <c r="K26" s="53">
        <f>SUMIF($F$12:$F$181,"18",$G$12:$G$181)</f>
        <v>1.5277777777777779E-2</v>
      </c>
      <c r="L26" s="54">
        <f t="shared" si="7"/>
        <v>9.7345132743362789E-2</v>
      </c>
      <c r="N26" s="194"/>
      <c r="O26" s="34" t="str">
        <f t="shared" si="9"/>
        <v>Travel</v>
      </c>
      <c r="P26" s="152">
        <f>RANK(S26,$S$23:$S$32)+COUNTIF(S$23:S26,S26)-1</f>
        <v>5</v>
      </c>
      <c r="Q26" s="87"/>
      <c r="R26" s="87"/>
      <c r="S26" s="45">
        <f t="shared" si="8"/>
        <v>0.11504424778761051</v>
      </c>
      <c r="T26" s="34" t="str">
        <f t="shared" si="2"/>
        <v>Travel</v>
      </c>
    </row>
    <row r="27" spans="1:20" x14ac:dyDescent="0.25">
      <c r="A27" s="33">
        <f t="shared" si="5"/>
        <v>16</v>
      </c>
      <c r="B27" s="34" t="str">
        <f>Timesheet!B32</f>
        <v>Activity 16</v>
      </c>
      <c r="C27" s="35">
        <f>Timesheet!C32</f>
        <v>0.27083333333333331</v>
      </c>
      <c r="D27" s="36">
        <f t="shared" si="3"/>
        <v>1.388888888888884E-3</v>
      </c>
      <c r="E27" s="84" t="str">
        <f t="shared" si="6"/>
        <v>V</v>
      </c>
      <c r="F27" s="61">
        <v>23</v>
      </c>
      <c r="G27" s="37">
        <f t="shared" si="4"/>
        <v>1.388888888888884E-3</v>
      </c>
      <c r="I27" s="52">
        <v>19</v>
      </c>
      <c r="J27" s="86" t="s">
        <v>25</v>
      </c>
      <c r="K27" s="53">
        <f>SUMIF($F$12:$F$181,"19",$G$12:$G$181)</f>
        <v>2.2916666666666641E-2</v>
      </c>
      <c r="L27" s="54">
        <f t="shared" si="7"/>
        <v>0.146017699115044</v>
      </c>
      <c r="N27" s="194"/>
      <c r="O27" s="34" t="str">
        <f t="shared" si="9"/>
        <v>Extended break</v>
      </c>
      <c r="P27" s="152">
        <f>RANK(S27,$S$23:$S$32)+COUNTIF(S$23:S27,S27)-1</f>
        <v>4</v>
      </c>
      <c r="Q27" s="87"/>
      <c r="R27" s="87"/>
      <c r="S27" s="45">
        <f t="shared" si="8"/>
        <v>0.13716814159292121</v>
      </c>
      <c r="T27" s="34" t="str">
        <f t="shared" si="2"/>
        <v>Extended break</v>
      </c>
    </row>
    <row r="28" spans="1:20" ht="13" thickBot="1" x14ac:dyDescent="0.3">
      <c r="A28" s="33">
        <f t="shared" si="5"/>
        <v>17</v>
      </c>
      <c r="B28" s="34" t="str">
        <f>Timesheet!B33</f>
        <v>Activity 17</v>
      </c>
      <c r="C28" s="35">
        <f>Timesheet!C33</f>
        <v>0.2722222222222222</v>
      </c>
      <c r="D28" s="36">
        <f t="shared" si="3"/>
        <v>2.0833333333333259E-3</v>
      </c>
      <c r="E28" s="84" t="str">
        <f t="shared" si="6"/>
        <v>N</v>
      </c>
      <c r="F28" s="61">
        <v>16</v>
      </c>
      <c r="G28" s="37">
        <f t="shared" si="4"/>
        <v>2.0833333333333259E-3</v>
      </c>
      <c r="I28" s="41">
        <v>111</v>
      </c>
      <c r="J28" s="113"/>
      <c r="K28" s="57">
        <f>SUMIF($F$12:$F$181,"111",$G$12:$G$181)</f>
        <v>6.9444444444444198E-4</v>
      </c>
      <c r="L28" s="44">
        <f t="shared" si="7"/>
        <v>4.4247787610619286E-3</v>
      </c>
      <c r="N28" s="194"/>
      <c r="O28" s="34" t="str">
        <f t="shared" si="9"/>
        <v>Training</v>
      </c>
      <c r="P28" s="152">
        <f>RANK(S28,$S$23:$S$32)+COUNTIF(S$23:S28,S28)-1</f>
        <v>9</v>
      </c>
      <c r="Q28" s="87"/>
      <c r="R28" s="87"/>
      <c r="S28" s="45">
        <f t="shared" si="8"/>
        <v>3.0973451327433857E-2</v>
      </c>
      <c r="T28" s="34" t="str">
        <f t="shared" si="2"/>
        <v>Training</v>
      </c>
    </row>
    <row r="29" spans="1:20" ht="13" x14ac:dyDescent="0.3">
      <c r="A29" s="33">
        <f t="shared" si="5"/>
        <v>18</v>
      </c>
      <c r="B29" s="34" t="str">
        <f>Timesheet!B34</f>
        <v>Activity 18</v>
      </c>
      <c r="C29" s="35">
        <f>Timesheet!C34</f>
        <v>0.27430555555555552</v>
      </c>
      <c r="D29" s="36">
        <f t="shared" si="3"/>
        <v>1.736111111111116E-2</v>
      </c>
      <c r="E29" s="84" t="str">
        <f t="shared" si="6"/>
        <v>V</v>
      </c>
      <c r="F29" s="61">
        <v>29</v>
      </c>
      <c r="G29" s="37">
        <f t="shared" si="4"/>
        <v>1.736111111111116E-2</v>
      </c>
      <c r="J29" s="46" t="s">
        <v>22</v>
      </c>
      <c r="K29" s="56">
        <f>SUM(K19:K28)</f>
        <v>0.15694444444444453</v>
      </c>
      <c r="N29" s="194"/>
      <c r="O29" s="34" t="str">
        <f t="shared" si="9"/>
        <v>Non active meetings</v>
      </c>
      <c r="P29" s="152">
        <f>RANK(S29,$S$23:$S$32)+COUNTIF(S$23:S29,S29)-1</f>
        <v>8</v>
      </c>
      <c r="Q29" s="87"/>
      <c r="R29" s="87"/>
      <c r="S29" s="45">
        <f t="shared" si="8"/>
        <v>7.5221238938053145E-2</v>
      </c>
      <c r="T29" s="34" t="str">
        <f t="shared" si="2"/>
        <v>Non active meetings</v>
      </c>
    </row>
    <row r="30" spans="1:20" ht="13" thickBot="1" x14ac:dyDescent="0.3">
      <c r="A30" s="33">
        <f t="shared" si="5"/>
        <v>19</v>
      </c>
      <c r="B30" s="34" t="str">
        <f>Timesheet!B35</f>
        <v>Activity 19</v>
      </c>
      <c r="C30" s="35">
        <f>Timesheet!C35</f>
        <v>0.29166666666666669</v>
      </c>
      <c r="D30" s="36">
        <f t="shared" si="3"/>
        <v>0</v>
      </c>
      <c r="E30" s="84" t="str">
        <f t="shared" si="6"/>
        <v/>
      </c>
      <c r="F30" s="61"/>
      <c r="G30" s="37">
        <f t="shared" si="4"/>
        <v>0</v>
      </c>
      <c r="N30" s="194"/>
      <c r="O30" s="34" t="str">
        <f t="shared" si="9"/>
        <v>Excessive Calling/alerting</v>
      </c>
      <c r="P30" s="152">
        <f>RANK(S30,$S$23:$S$32)+COUNTIF(S$23:S30,S30)-1</f>
        <v>6</v>
      </c>
      <c r="Q30" s="87"/>
      <c r="R30" s="87"/>
      <c r="S30" s="45">
        <f t="shared" si="8"/>
        <v>9.7345132743362789E-2</v>
      </c>
      <c r="T30" s="34" t="str">
        <f t="shared" si="2"/>
        <v>Excessive Calling/alerting</v>
      </c>
    </row>
    <row r="31" spans="1:20" ht="13.5" thickBot="1" x14ac:dyDescent="0.35">
      <c r="A31" s="33">
        <f t="shared" si="5"/>
        <v>20</v>
      </c>
      <c r="B31" s="34" t="str">
        <f>Timesheet!B36</f>
        <v>Activity 20</v>
      </c>
      <c r="C31" s="35">
        <f>Timesheet!C36</f>
        <v>0.29166666666666669</v>
      </c>
      <c r="D31" s="36">
        <f t="shared" si="3"/>
        <v>3.4722222222222099E-3</v>
      </c>
      <c r="E31" s="84" t="str">
        <f t="shared" si="6"/>
        <v/>
      </c>
      <c r="F31" s="61"/>
      <c r="G31" s="37">
        <f t="shared" si="4"/>
        <v>3.4722222222222099E-3</v>
      </c>
      <c r="I31" s="197" t="str">
        <f>VA_name</f>
        <v>VA</v>
      </c>
      <c r="J31" s="198"/>
      <c r="K31" s="198"/>
      <c r="L31" s="199"/>
      <c r="N31" s="194"/>
      <c r="O31" s="34" t="str">
        <f t="shared" si="9"/>
        <v>Rework</v>
      </c>
      <c r="P31" s="152">
        <f>RANK(S31,$S$23:$S$32)+COUNTIF(S$23:S31,S31)-1</f>
        <v>3</v>
      </c>
      <c r="Q31" s="87"/>
      <c r="R31" s="87"/>
      <c r="S31" s="45">
        <f t="shared" si="8"/>
        <v>0.146017699115044</v>
      </c>
      <c r="T31" s="34" t="str">
        <f t="shared" si="2"/>
        <v>Rework</v>
      </c>
    </row>
    <row r="32" spans="1:20" ht="15" x14ac:dyDescent="0.3">
      <c r="A32" s="33">
        <f t="shared" si="5"/>
        <v>21</v>
      </c>
      <c r="B32" s="34" t="str">
        <f>Timesheet!B37</f>
        <v>Activity 21</v>
      </c>
      <c r="C32" s="35">
        <f>Timesheet!C37</f>
        <v>0.2951388888888889</v>
      </c>
      <c r="D32" s="36">
        <f t="shared" si="3"/>
        <v>6.9444444444444198E-4</v>
      </c>
      <c r="E32" s="84" t="str">
        <f t="shared" si="6"/>
        <v>N</v>
      </c>
      <c r="F32" s="61">
        <v>111</v>
      </c>
      <c r="G32" s="37">
        <f t="shared" si="4"/>
        <v>6.9444444444444198E-4</v>
      </c>
      <c r="I32" s="22"/>
      <c r="J32" s="23" t="str">
        <f t="shared" ref="J32:L33" si="10">J17</f>
        <v>Description</v>
      </c>
      <c r="K32" s="24" t="str">
        <f t="shared" si="10"/>
        <v>Duration</v>
      </c>
      <c r="L32" s="25" t="str">
        <f t="shared" si="10"/>
        <v>% of</v>
      </c>
      <c r="N32" s="194"/>
      <c r="O32" s="34" t="str">
        <f t="shared" si="9"/>
        <v/>
      </c>
      <c r="P32" s="152">
        <f>RANK(S32,$S$23:$S$32)+COUNTIF(S$23:S32,S32)-1</f>
        <v>10</v>
      </c>
      <c r="Q32" s="87"/>
      <c r="R32" s="87"/>
      <c r="S32" s="45">
        <f t="shared" si="8"/>
        <v>4.4247787610619286E-3</v>
      </c>
      <c r="T32" s="34" t="str">
        <f t="shared" si="2"/>
        <v/>
      </c>
    </row>
    <row r="33" spans="1:20" ht="15.5" thickBot="1" x14ac:dyDescent="0.35">
      <c r="A33" s="33">
        <f t="shared" si="5"/>
        <v>22</v>
      </c>
      <c r="B33" s="34" t="str">
        <f>Timesheet!B38</f>
        <v>Activity 22</v>
      </c>
      <c r="C33" s="35">
        <f>Timesheet!C38</f>
        <v>0.29583333333333334</v>
      </c>
      <c r="D33" s="36">
        <f t="shared" si="3"/>
        <v>9.0277777777777457E-3</v>
      </c>
      <c r="E33" s="84" t="str">
        <f t="shared" si="6"/>
        <v>N</v>
      </c>
      <c r="F33" s="61">
        <v>12</v>
      </c>
      <c r="G33" s="37">
        <f t="shared" si="4"/>
        <v>9.0277777777777457E-3</v>
      </c>
      <c r="I33" s="29" t="s">
        <v>3</v>
      </c>
      <c r="J33" s="20" t="str">
        <f t="shared" si="10"/>
        <v>Cause</v>
      </c>
      <c r="K33" s="31" t="str">
        <f t="shared" si="10"/>
        <v>Categ.</v>
      </c>
      <c r="L33" s="32" t="str">
        <f t="shared" si="10"/>
        <v>time</v>
      </c>
      <c r="N33" s="88"/>
      <c r="S33" s="89"/>
    </row>
    <row r="34" spans="1:20" x14ac:dyDescent="0.25">
      <c r="A34" s="33">
        <f t="shared" si="5"/>
        <v>23</v>
      </c>
      <c r="B34" s="34" t="str">
        <f>Timesheet!B39</f>
        <v>Activity 23</v>
      </c>
      <c r="C34" s="35">
        <f>Timesheet!C39</f>
        <v>0.30486111111111108</v>
      </c>
      <c r="D34" s="36">
        <f t="shared" si="3"/>
        <v>2.7777777777778234E-3</v>
      </c>
      <c r="E34" s="84" t="str">
        <f t="shared" si="6"/>
        <v>N</v>
      </c>
      <c r="F34" s="61">
        <v>16</v>
      </c>
      <c r="G34" s="37">
        <f t="shared" si="4"/>
        <v>2.7777777777778234E-3</v>
      </c>
      <c r="I34" s="48">
        <v>21</v>
      </c>
      <c r="J34" s="85" t="s">
        <v>46</v>
      </c>
      <c r="K34" s="49">
        <f>SUMIF($F$12:$F$181,"21",$G$12:$G$181)</f>
        <v>2.9166666666666619E-2</v>
      </c>
      <c r="L34" s="50">
        <f t="shared" ref="L34:L43" si="11">IF($K$44=0,0,K34/$K$44)</f>
        <v>0.16535433070866121</v>
      </c>
      <c r="N34" s="196" t="s">
        <v>59</v>
      </c>
      <c r="O34" s="196"/>
    </row>
    <row r="35" spans="1:20" x14ac:dyDescent="0.25">
      <c r="A35" s="33">
        <f t="shared" si="5"/>
        <v>24</v>
      </c>
      <c r="B35" s="34" t="str">
        <f>Timesheet!B40</f>
        <v>Activity 24</v>
      </c>
      <c r="C35" s="35">
        <f>Timesheet!C40</f>
        <v>0.30763888888888891</v>
      </c>
      <c r="D35" s="36">
        <f t="shared" si="3"/>
        <v>5.5555555555555358E-3</v>
      </c>
      <c r="E35" s="84" t="str">
        <f t="shared" si="6"/>
        <v>V</v>
      </c>
      <c r="F35" s="61">
        <v>21</v>
      </c>
      <c r="G35" s="37">
        <f t="shared" si="4"/>
        <v>5.5555555555555358E-3</v>
      </c>
      <c r="I35" s="52">
        <v>22</v>
      </c>
      <c r="J35" s="86" t="s">
        <v>47</v>
      </c>
      <c r="K35" s="53">
        <f>SUMIF($F$12:$F$181,"22",$G$12:$G$181)</f>
        <v>2.7083333333333348E-2</v>
      </c>
      <c r="L35" s="54">
        <f t="shared" si="11"/>
        <v>0.15354330708661432</v>
      </c>
      <c r="Q35" s="105" t="str">
        <f>VA_name</f>
        <v>VA</v>
      </c>
      <c r="R35" s="105" t="str">
        <f>_xlfn.CONCAT(VA_name,"/",NVA_name)</f>
        <v>VA/NVA</v>
      </c>
      <c r="S35" s="105" t="str">
        <f>NVA_name</f>
        <v>NVA</v>
      </c>
    </row>
    <row r="36" spans="1:20" x14ac:dyDescent="0.25">
      <c r="A36" s="33">
        <f t="shared" si="5"/>
        <v>25</v>
      </c>
      <c r="B36" s="34" t="str">
        <f>Timesheet!B41</f>
        <v>Activity 25</v>
      </c>
      <c r="C36" s="35">
        <f>Timesheet!C41</f>
        <v>0.31319444444444444</v>
      </c>
      <c r="D36" s="36">
        <f t="shared" si="3"/>
        <v>6.9444444444444198E-4</v>
      </c>
      <c r="E36" s="84" t="str">
        <f t="shared" si="6"/>
        <v>V</v>
      </c>
      <c r="F36" s="61">
        <v>23</v>
      </c>
      <c r="G36" s="37">
        <f t="shared" si="4"/>
        <v>6.9444444444444198E-4</v>
      </c>
      <c r="I36" s="52">
        <v>23</v>
      </c>
      <c r="J36" s="86" t="s">
        <v>48</v>
      </c>
      <c r="K36" s="53">
        <f>SUMIF($F$12:$F$181,"23",$G$12:$G$181)</f>
        <v>3.6111111111111205E-2</v>
      </c>
      <c r="L36" s="54">
        <f t="shared" si="11"/>
        <v>0.20472440944881951</v>
      </c>
      <c r="N36" s="194" t="str">
        <f>VA_name</f>
        <v>VA</v>
      </c>
      <c r="O36" s="34" t="str">
        <f>VLOOKUP(P36,$P$11:$T$20,5,FALSE)</f>
        <v>Auto maintenance/1st level diagnosis</v>
      </c>
      <c r="P36" s="34">
        <v>1</v>
      </c>
      <c r="Q36" s="45">
        <f>VLOOKUP(P36,$P$11:$T$20,2,FALSE)</f>
        <v>0.20472440944881951</v>
      </c>
      <c r="R36" s="87"/>
      <c r="S36" s="87"/>
    </row>
    <row r="37" spans="1:20" x14ac:dyDescent="0.25">
      <c r="A37" s="33">
        <f t="shared" si="5"/>
        <v>26</v>
      </c>
      <c r="B37" s="34" t="str">
        <f>Timesheet!B42</f>
        <v>Activity 26</v>
      </c>
      <c r="C37" s="35">
        <f>Timesheet!C42</f>
        <v>0.31388888888888888</v>
      </c>
      <c r="D37" s="36">
        <f t="shared" si="3"/>
        <v>2.0833333333333259E-3</v>
      </c>
      <c r="E37" s="84" t="str">
        <f t="shared" si="6"/>
        <v>N</v>
      </c>
      <c r="F37" s="61">
        <v>13</v>
      </c>
      <c r="G37" s="37">
        <f t="shared" si="4"/>
        <v>2.0833333333333259E-3</v>
      </c>
      <c r="I37" s="52">
        <v>24</v>
      </c>
      <c r="J37" s="86" t="s">
        <v>49</v>
      </c>
      <c r="K37" s="53">
        <f>SUMIF($F$12:$F$181,"24",$G$12:$G$181)</f>
        <v>1.4583333333333337E-2</v>
      </c>
      <c r="L37" s="54">
        <f t="shared" si="11"/>
        <v>8.267716535433077E-2</v>
      </c>
      <c r="N37" s="194"/>
      <c r="O37" s="34" t="str">
        <f t="shared" ref="O37:O45" si="12">VLOOKUP(P37,$P$11:$T$20,5,FALSE)</f>
        <v>Operating tasks</v>
      </c>
      <c r="P37" s="34">
        <v>2</v>
      </c>
      <c r="Q37" s="45">
        <f t="shared" ref="Q37:Q45" si="13">VLOOKUP(P37,$P$11:$T$20,2,FALSE)</f>
        <v>0.16535433070866121</v>
      </c>
      <c r="R37" s="87"/>
      <c r="S37" s="87"/>
    </row>
    <row r="38" spans="1:20" x14ac:dyDescent="0.25">
      <c r="A38" s="33">
        <f t="shared" si="5"/>
        <v>27</v>
      </c>
      <c r="B38" s="34" t="str">
        <f>Timesheet!B43</f>
        <v>Activity 27</v>
      </c>
      <c r="C38" s="35">
        <f>Timesheet!C43</f>
        <v>0.31597222222222221</v>
      </c>
      <c r="D38" s="36">
        <f t="shared" si="3"/>
        <v>2.0833333333333259E-3</v>
      </c>
      <c r="E38" s="84" t="str">
        <f t="shared" si="6"/>
        <v/>
      </c>
      <c r="F38" s="61"/>
      <c r="G38" s="37">
        <f t="shared" si="4"/>
        <v>2.0833333333333259E-3</v>
      </c>
      <c r="I38" s="52">
        <v>25</v>
      </c>
      <c r="J38" s="86" t="s">
        <v>50</v>
      </c>
      <c r="K38" s="53">
        <f>SUMIF($F$12:$F$181,"25",$G$12:$G$181)</f>
        <v>1.1805555555555569E-2</v>
      </c>
      <c r="L38" s="54">
        <f t="shared" si="11"/>
        <v>6.692913385826782E-2</v>
      </c>
      <c r="N38" s="194"/>
      <c r="O38" s="34" t="str">
        <f t="shared" si="12"/>
        <v>Preparation and security</v>
      </c>
      <c r="P38" s="34">
        <v>3</v>
      </c>
      <c r="Q38" s="45">
        <f t="shared" si="13"/>
        <v>0.15354330708661432</v>
      </c>
      <c r="R38" s="87"/>
      <c r="S38" s="87"/>
    </row>
    <row r="39" spans="1:20" x14ac:dyDescent="0.25">
      <c r="A39" s="33">
        <f t="shared" si="5"/>
        <v>28</v>
      </c>
      <c r="B39" s="34" t="str">
        <f>Timesheet!B44</f>
        <v>Activity 28</v>
      </c>
      <c r="C39" s="35">
        <f>Timesheet!C44</f>
        <v>0.31805555555555554</v>
      </c>
      <c r="D39" s="36">
        <f t="shared" si="3"/>
        <v>1.3888888888889395E-3</v>
      </c>
      <c r="E39" s="84" t="str">
        <f t="shared" si="6"/>
        <v>N</v>
      </c>
      <c r="F39" s="61">
        <v>12</v>
      </c>
      <c r="G39" s="37">
        <f t="shared" si="4"/>
        <v>1.3888888888889395E-3</v>
      </c>
      <c r="I39" s="52">
        <v>26</v>
      </c>
      <c r="J39" s="86" t="s">
        <v>51</v>
      </c>
      <c r="K39" s="53">
        <f>SUMIF($F$12:$F$181,"26",$G$12:$G$181)</f>
        <v>1.7361111111111049E-2</v>
      </c>
      <c r="L39" s="54">
        <f t="shared" si="11"/>
        <v>9.8425196850393387E-2</v>
      </c>
      <c r="N39" s="194"/>
      <c r="O39" s="34" t="str">
        <f t="shared" si="12"/>
        <v>Active meetings/workshops</v>
      </c>
      <c r="P39" s="34">
        <v>4</v>
      </c>
      <c r="Q39" s="45">
        <f t="shared" si="13"/>
        <v>9.8425196850394026E-2</v>
      </c>
      <c r="R39" s="87"/>
      <c r="S39" s="87"/>
    </row>
    <row r="40" spans="1:20" x14ac:dyDescent="0.25">
      <c r="A40" s="33">
        <f t="shared" si="5"/>
        <v>29</v>
      </c>
      <c r="B40" s="34" t="str">
        <f>Timesheet!B45</f>
        <v>Activity 29</v>
      </c>
      <c r="C40" s="35">
        <f>Timesheet!C45</f>
        <v>0.31944444444444448</v>
      </c>
      <c r="D40" s="36">
        <f t="shared" si="3"/>
        <v>1.388888888888884E-3</v>
      </c>
      <c r="E40" s="84" t="str">
        <f t="shared" si="6"/>
        <v>N</v>
      </c>
      <c r="F40" s="61">
        <v>19</v>
      </c>
      <c r="G40" s="37">
        <f t="shared" si="4"/>
        <v>1.388888888888884E-3</v>
      </c>
      <c r="I40" s="55">
        <v>27</v>
      </c>
      <c r="J40" s="86" t="s">
        <v>52</v>
      </c>
      <c r="K40" s="53">
        <f>SUMIF($F$12:$F$181,"27",$G$12:$G$181)</f>
        <v>1.5277777777777668E-2</v>
      </c>
      <c r="L40" s="54">
        <f t="shared" si="11"/>
        <v>8.6614173228345873E-2</v>
      </c>
      <c r="N40" s="194"/>
      <c r="O40" s="34" t="str">
        <f t="shared" si="12"/>
        <v>Equipment test and tune up</v>
      </c>
      <c r="P40" s="34">
        <v>5</v>
      </c>
      <c r="Q40" s="45">
        <f t="shared" si="13"/>
        <v>9.8425196850393387E-2</v>
      </c>
      <c r="R40" s="87"/>
      <c r="S40" s="87"/>
    </row>
    <row r="41" spans="1:20" x14ac:dyDescent="0.25">
      <c r="A41" s="33">
        <f t="shared" si="5"/>
        <v>30</v>
      </c>
      <c r="B41" s="34" t="str">
        <f>Timesheet!B46</f>
        <v>Activity 30</v>
      </c>
      <c r="C41" s="35">
        <f>Timesheet!C46</f>
        <v>0.32083333333333336</v>
      </c>
      <c r="D41" s="36">
        <f t="shared" si="3"/>
        <v>6.9444444444444198E-4</v>
      </c>
      <c r="E41" s="84" t="str">
        <f t="shared" si="6"/>
        <v>N</v>
      </c>
      <c r="F41" s="61">
        <v>13</v>
      </c>
      <c r="G41" s="37">
        <f t="shared" si="4"/>
        <v>6.9444444444444198E-4</v>
      </c>
      <c r="I41" s="55">
        <v>28</v>
      </c>
      <c r="J41" s="86" t="s">
        <v>53</v>
      </c>
      <c r="K41" s="53">
        <f>SUMIF($F$12:$F$181,"28",$G$12:$G$181)</f>
        <v>7.6388888888888618E-3</v>
      </c>
      <c r="L41" s="54">
        <f t="shared" si="11"/>
        <v>4.3307086614173089E-2</v>
      </c>
      <c r="N41" s="194"/>
      <c r="O41" s="34" t="str">
        <f t="shared" si="12"/>
        <v>Quality test</v>
      </c>
      <c r="P41" s="34">
        <v>6</v>
      </c>
      <c r="Q41" s="45">
        <f t="shared" si="13"/>
        <v>8.6614173228345873E-2</v>
      </c>
      <c r="R41" s="87"/>
      <c r="S41" s="87"/>
    </row>
    <row r="42" spans="1:20" x14ac:dyDescent="0.25">
      <c r="A42" s="33">
        <f t="shared" si="5"/>
        <v>31</v>
      </c>
      <c r="B42" s="34" t="str">
        <f>Timesheet!B47</f>
        <v>Activity 31</v>
      </c>
      <c r="C42" s="35">
        <f>Timesheet!C47</f>
        <v>0.3215277777777778</v>
      </c>
      <c r="D42" s="36">
        <f t="shared" si="3"/>
        <v>7.6388888888888618E-3</v>
      </c>
      <c r="E42" s="84" t="str">
        <f t="shared" si="6"/>
        <v>N</v>
      </c>
      <c r="F42" s="61">
        <v>11</v>
      </c>
      <c r="G42" s="37">
        <f t="shared" si="4"/>
        <v>7.6388888888888618E-3</v>
      </c>
      <c r="I42" s="55">
        <v>29</v>
      </c>
      <c r="J42" s="86" t="s">
        <v>54</v>
      </c>
      <c r="K42" s="53">
        <f>SUMIF($F$12:$F$181,"29",$G$12:$G$181)</f>
        <v>1.736111111111116E-2</v>
      </c>
      <c r="L42" s="54">
        <f t="shared" si="11"/>
        <v>9.8425196850394026E-2</v>
      </c>
      <c r="N42" s="194"/>
      <c r="O42" s="34" t="str">
        <f t="shared" si="12"/>
        <v>Cleaning</v>
      </c>
      <c r="P42" s="34">
        <v>7</v>
      </c>
      <c r="Q42" s="45">
        <f t="shared" si="13"/>
        <v>8.267716535433077E-2</v>
      </c>
      <c r="R42" s="87"/>
      <c r="S42" s="87"/>
    </row>
    <row r="43" spans="1:20" ht="13" thickBot="1" x14ac:dyDescent="0.3">
      <c r="A43" s="33">
        <f t="shared" si="5"/>
        <v>32</v>
      </c>
      <c r="B43" s="34" t="str">
        <f>Timesheet!B48</f>
        <v>Activity 32</v>
      </c>
      <c r="C43" s="35">
        <f>Timesheet!C48</f>
        <v>0.32916666666666666</v>
      </c>
      <c r="D43" s="36">
        <f t="shared" si="3"/>
        <v>6.9444444444444198E-4</v>
      </c>
      <c r="E43" s="84" t="str">
        <f t="shared" si="6"/>
        <v>N</v>
      </c>
      <c r="F43" s="61">
        <v>14</v>
      </c>
      <c r="G43" s="37">
        <f t="shared" si="4"/>
        <v>6.9444444444444198E-4</v>
      </c>
      <c r="I43" s="111">
        <v>211</v>
      </c>
      <c r="J43" s="112"/>
      <c r="K43" s="57">
        <f>SUMIF($F$12:$F$181,"211",$G$12:$G$181)</f>
        <v>0</v>
      </c>
      <c r="L43" s="44">
        <f t="shared" si="11"/>
        <v>0</v>
      </c>
      <c r="N43" s="194"/>
      <c r="O43" s="34" t="str">
        <f t="shared" si="12"/>
        <v>Equipment control</v>
      </c>
      <c r="P43" s="34">
        <v>8</v>
      </c>
      <c r="Q43" s="45">
        <f t="shared" si="13"/>
        <v>6.692913385826782E-2</v>
      </c>
      <c r="R43" s="87"/>
      <c r="S43" s="87"/>
    </row>
    <row r="44" spans="1:20" ht="13" x14ac:dyDescent="0.3">
      <c r="A44" s="33">
        <f t="shared" si="5"/>
        <v>33</v>
      </c>
      <c r="B44" s="34" t="str">
        <f>Timesheet!B49</f>
        <v>Activity 33</v>
      </c>
      <c r="C44" s="35">
        <f>Timesheet!C49</f>
        <v>0.3298611111111111</v>
      </c>
      <c r="D44" s="36">
        <f t="shared" si="3"/>
        <v>5.5555555555555913E-3</v>
      </c>
      <c r="E44" s="84" t="str">
        <f t="shared" si="6"/>
        <v>N</v>
      </c>
      <c r="F44" s="61">
        <v>11</v>
      </c>
      <c r="G44" s="37">
        <f t="shared" si="4"/>
        <v>5.5555555555555913E-3</v>
      </c>
      <c r="J44" s="46" t="str">
        <f>J29</f>
        <v>Total time=&gt;</v>
      </c>
      <c r="K44" s="56">
        <f>SUM(K34:K43)</f>
        <v>0.17638888888888882</v>
      </c>
      <c r="N44" s="194"/>
      <c r="O44" s="34" t="str">
        <f t="shared" si="12"/>
        <v>Calling/alerting for issues</v>
      </c>
      <c r="P44" s="34">
        <v>9</v>
      </c>
      <c r="Q44" s="45">
        <f t="shared" si="13"/>
        <v>4.3307086614173089E-2</v>
      </c>
      <c r="R44" s="87"/>
      <c r="S44" s="87"/>
    </row>
    <row r="45" spans="1:20" x14ac:dyDescent="0.25">
      <c r="A45" s="33">
        <f t="shared" si="5"/>
        <v>34</v>
      </c>
      <c r="B45" s="34" t="str">
        <f>Timesheet!B50</f>
        <v>Activity 34</v>
      </c>
      <c r="C45" s="35">
        <f>Timesheet!C50</f>
        <v>0.3354166666666667</v>
      </c>
      <c r="D45" s="36">
        <f t="shared" si="3"/>
        <v>2.7777777777777679E-3</v>
      </c>
      <c r="E45" s="84" t="str">
        <f t="shared" si="6"/>
        <v>N</v>
      </c>
      <c r="F45" s="61">
        <v>13</v>
      </c>
      <c r="G45" s="37">
        <f t="shared" si="4"/>
        <v>2.7777777777777679E-3</v>
      </c>
      <c r="J45" s="6" t="s">
        <v>60</v>
      </c>
      <c r="K45" s="107">
        <f>K14-K29-K44</f>
        <v>0</v>
      </c>
      <c r="N45" s="194"/>
      <c r="O45" s="34" t="str">
        <f t="shared" si="12"/>
        <v/>
      </c>
      <c r="P45" s="34">
        <v>10</v>
      </c>
      <c r="Q45" s="45">
        <f t="shared" si="13"/>
        <v>0</v>
      </c>
      <c r="R45" s="87"/>
      <c r="S45" s="87"/>
    </row>
    <row r="46" spans="1:20" x14ac:dyDescent="0.25">
      <c r="A46" s="33">
        <f t="shared" si="5"/>
        <v>35</v>
      </c>
      <c r="B46" s="34" t="str">
        <f>Timesheet!B51</f>
        <v>Activity 35</v>
      </c>
      <c r="C46" s="35">
        <f>Timesheet!C51</f>
        <v>0.33819444444444446</v>
      </c>
      <c r="D46" s="36">
        <f t="shared" si="3"/>
        <v>1.4583333333333337E-2</v>
      </c>
      <c r="E46" s="84" t="str">
        <f t="shared" si="6"/>
        <v>N</v>
      </c>
      <c r="F46" s="61">
        <v>19</v>
      </c>
      <c r="G46" s="37">
        <f t="shared" si="4"/>
        <v>1.4583333333333337E-2</v>
      </c>
      <c r="N46" s="194" t="str">
        <f>_xlfn.CONCAT(VA_name,"/",NVA_name)</f>
        <v>VA/NVA</v>
      </c>
      <c r="O46" s="34" t="str">
        <f>$O$21</f>
        <v>VA</v>
      </c>
      <c r="P46" s="34"/>
      <c r="Q46" s="87"/>
      <c r="R46" s="45">
        <f>$R$21</f>
        <v>0.52916666666666634</v>
      </c>
      <c r="S46" s="87"/>
    </row>
    <row r="47" spans="1:20" x14ac:dyDescent="0.25">
      <c r="A47" s="33">
        <f t="shared" si="5"/>
        <v>36</v>
      </c>
      <c r="B47" s="34" t="str">
        <f>Timesheet!B52</f>
        <v>Activity 36</v>
      </c>
      <c r="C47" s="35">
        <f>Timesheet!C52</f>
        <v>0.3527777777777778</v>
      </c>
      <c r="D47" s="36">
        <f t="shared" si="3"/>
        <v>4.1666666666666519E-3</v>
      </c>
      <c r="E47" s="84" t="str">
        <f t="shared" si="6"/>
        <v>N</v>
      </c>
      <c r="F47" s="61">
        <v>18</v>
      </c>
      <c r="G47" s="37">
        <f t="shared" si="4"/>
        <v>4.1666666666666519E-3</v>
      </c>
      <c r="N47" s="194"/>
      <c r="O47" s="34" t="str">
        <f>NVA_name</f>
        <v>NVA</v>
      </c>
      <c r="P47" s="34"/>
      <c r="Q47" s="87"/>
      <c r="R47" s="45">
        <f>$R$22</f>
        <v>0.47083333333333355</v>
      </c>
      <c r="S47" s="87"/>
    </row>
    <row r="48" spans="1:20" x14ac:dyDescent="0.25">
      <c r="A48" s="33">
        <f t="shared" si="5"/>
        <v>37</v>
      </c>
      <c r="B48" s="34" t="str">
        <f>Timesheet!B53</f>
        <v>Activity 37</v>
      </c>
      <c r="C48" s="35">
        <f>Timesheet!C53</f>
        <v>0.35694444444444445</v>
      </c>
      <c r="D48" s="36">
        <f t="shared" si="3"/>
        <v>2.7777777777777679E-3</v>
      </c>
      <c r="E48" s="84" t="str">
        <f t="shared" si="6"/>
        <v>V</v>
      </c>
      <c r="F48" s="61">
        <v>23</v>
      </c>
      <c r="G48" s="37">
        <f t="shared" si="4"/>
        <v>2.7777777777777679E-3</v>
      </c>
      <c r="N48" s="194" t="str">
        <f>NVA_name</f>
        <v>NVA</v>
      </c>
      <c r="O48" s="34" t="str">
        <f>VLOOKUP(P36,$P$23:$T$32,5,FALSE)</f>
        <v>Available</v>
      </c>
      <c r="P48" s="34">
        <v>1</v>
      </c>
      <c r="Q48" s="87"/>
      <c r="R48" s="87"/>
      <c r="S48" s="45">
        <f>VLOOKUP(P48,$P$23:$T$32,4,FALSE)</f>
        <v>0.15929203539822978</v>
      </c>
      <c r="T48" s="102"/>
    </row>
    <row r="49" spans="1:20" x14ac:dyDescent="0.25">
      <c r="A49" s="33">
        <f t="shared" si="5"/>
        <v>38</v>
      </c>
      <c r="B49" s="34" t="str">
        <f>Timesheet!B54</f>
        <v>Activity 38</v>
      </c>
      <c r="C49" s="35">
        <f>Timesheet!C54</f>
        <v>0.35972222222222222</v>
      </c>
      <c r="D49" s="36">
        <f t="shared" si="3"/>
        <v>1.388888888888884E-3</v>
      </c>
      <c r="E49" s="84" t="str">
        <f t="shared" si="6"/>
        <v>N</v>
      </c>
      <c r="F49" s="61">
        <v>13</v>
      </c>
      <c r="G49" s="37">
        <f t="shared" si="4"/>
        <v>1.388888888888884E-3</v>
      </c>
      <c r="N49" s="194"/>
      <c r="O49" s="34" t="str">
        <f t="shared" ref="O49:O57" si="14">VLOOKUP(P37,$P$23:$T$32,5,FALSE)</f>
        <v>Waiting</v>
      </c>
      <c r="P49" s="34">
        <v>2</v>
      </c>
      <c r="Q49" s="87"/>
      <c r="R49" s="87"/>
      <c r="S49" s="45">
        <f t="shared" ref="S49:S57" si="15">VLOOKUP(P49,$P$23:$T$32,4,FALSE)</f>
        <v>0.1504424778761056</v>
      </c>
      <c r="T49" s="102"/>
    </row>
    <row r="50" spans="1:20" x14ac:dyDescent="0.25">
      <c r="A50" s="33">
        <f t="shared" si="5"/>
        <v>39</v>
      </c>
      <c r="B50" s="34" t="str">
        <f>Timesheet!B55</f>
        <v>Activity 39</v>
      </c>
      <c r="C50" s="35">
        <f>Timesheet!C55</f>
        <v>0.3611111111111111</v>
      </c>
      <c r="D50" s="36">
        <f t="shared" si="3"/>
        <v>1.388888888888884E-3</v>
      </c>
      <c r="E50" s="84" t="str">
        <f t="shared" si="6"/>
        <v>V</v>
      </c>
      <c r="F50" s="61">
        <v>27</v>
      </c>
      <c r="G50" s="37">
        <f t="shared" si="4"/>
        <v>1.388888888888884E-3</v>
      </c>
      <c r="N50" s="194"/>
      <c r="O50" s="34" t="str">
        <f t="shared" si="14"/>
        <v>Rework</v>
      </c>
      <c r="P50" s="34">
        <v>3</v>
      </c>
      <c r="Q50" s="87"/>
      <c r="R50" s="87"/>
      <c r="S50" s="45">
        <f t="shared" si="15"/>
        <v>0.146017699115044</v>
      </c>
      <c r="T50" s="102"/>
    </row>
    <row r="51" spans="1:20" x14ac:dyDescent="0.25">
      <c r="A51" s="33">
        <f t="shared" si="5"/>
        <v>40</v>
      </c>
      <c r="B51" s="34" t="str">
        <f>Timesheet!B56</f>
        <v>Activity 40</v>
      </c>
      <c r="C51" s="35">
        <f>Timesheet!C56</f>
        <v>0.36249999999999999</v>
      </c>
      <c r="D51" s="36">
        <f t="shared" si="3"/>
        <v>8.3333333333333592E-3</v>
      </c>
      <c r="E51" s="84" t="str">
        <f t="shared" si="6"/>
        <v/>
      </c>
      <c r="F51" s="61"/>
      <c r="G51" s="37">
        <f t="shared" si="4"/>
        <v>8.3333333333333592E-3</v>
      </c>
      <c r="N51" s="194"/>
      <c r="O51" s="34" t="str">
        <f t="shared" si="14"/>
        <v>Extended break</v>
      </c>
      <c r="P51" s="34">
        <v>4</v>
      </c>
      <c r="Q51" s="87"/>
      <c r="R51" s="87"/>
      <c r="S51" s="45">
        <f t="shared" si="15"/>
        <v>0.13716814159292121</v>
      </c>
      <c r="T51" s="102"/>
    </row>
    <row r="52" spans="1:20" x14ac:dyDescent="0.25">
      <c r="A52" s="33">
        <f t="shared" si="5"/>
        <v>41</v>
      </c>
      <c r="B52" s="34" t="str">
        <f>Timesheet!B57</f>
        <v>Activity 41</v>
      </c>
      <c r="C52" s="35">
        <f>Timesheet!C57</f>
        <v>0.37083333333333335</v>
      </c>
      <c r="D52" s="36">
        <f t="shared" si="3"/>
        <v>1.388888888888884E-3</v>
      </c>
      <c r="E52" s="84" t="str">
        <f t="shared" si="6"/>
        <v>N</v>
      </c>
      <c r="F52" s="61">
        <v>13</v>
      </c>
      <c r="G52" s="37">
        <f t="shared" si="4"/>
        <v>1.388888888888884E-3</v>
      </c>
      <c r="N52" s="194"/>
      <c r="O52" s="34" t="str">
        <f t="shared" si="14"/>
        <v>Travel</v>
      </c>
      <c r="P52" s="34">
        <v>5</v>
      </c>
      <c r="Q52" s="87"/>
      <c r="R52" s="87"/>
      <c r="S52" s="45">
        <f t="shared" si="15"/>
        <v>0.11504424778761051</v>
      </c>
      <c r="T52" s="102"/>
    </row>
    <row r="53" spans="1:20" x14ac:dyDescent="0.25">
      <c r="A53" s="33">
        <f t="shared" si="5"/>
        <v>42</v>
      </c>
      <c r="B53" s="34" t="str">
        <f>Timesheet!B58</f>
        <v>Activity 42</v>
      </c>
      <c r="C53" s="35">
        <f>Timesheet!C58</f>
        <v>0.37222222222222223</v>
      </c>
      <c r="D53" s="36">
        <f t="shared" si="3"/>
        <v>1.1111111111111072E-2</v>
      </c>
      <c r="E53" s="84" t="str">
        <f t="shared" si="6"/>
        <v>V</v>
      </c>
      <c r="F53" s="61">
        <v>27</v>
      </c>
      <c r="G53" s="37">
        <f t="shared" si="4"/>
        <v>1.1111111111111072E-2</v>
      </c>
      <c r="N53" s="194"/>
      <c r="O53" s="34" t="str">
        <f t="shared" si="14"/>
        <v>Excessive Calling/alerting</v>
      </c>
      <c r="P53" s="34">
        <v>6</v>
      </c>
      <c r="Q53" s="87"/>
      <c r="R53" s="87"/>
      <c r="S53" s="45">
        <f t="shared" si="15"/>
        <v>9.7345132743362789E-2</v>
      </c>
      <c r="T53" s="102"/>
    </row>
    <row r="54" spans="1:20" x14ac:dyDescent="0.25">
      <c r="A54" s="33">
        <f t="shared" si="5"/>
        <v>43</v>
      </c>
      <c r="B54" s="34" t="str">
        <f>Timesheet!B59</f>
        <v>Activity 43</v>
      </c>
      <c r="C54" s="35">
        <f>Timesheet!C59</f>
        <v>0.3833333333333333</v>
      </c>
      <c r="D54" s="36">
        <f t="shared" si="3"/>
        <v>6.9444444444449749E-4</v>
      </c>
      <c r="E54" s="84" t="str">
        <f t="shared" si="6"/>
        <v>V</v>
      </c>
      <c r="F54" s="61">
        <v>23</v>
      </c>
      <c r="G54" s="37">
        <f t="shared" si="4"/>
        <v>6.9444444444449749E-4</v>
      </c>
      <c r="N54" s="194"/>
      <c r="O54" s="34" t="str">
        <f t="shared" si="14"/>
        <v>Administrative tasks/keing reporting data</v>
      </c>
      <c r="P54" s="34">
        <v>7</v>
      </c>
      <c r="Q54" s="87"/>
      <c r="R54" s="87"/>
      <c r="S54" s="45">
        <f t="shared" si="15"/>
        <v>8.4070796460177177E-2</v>
      </c>
      <c r="T54" s="102"/>
    </row>
    <row r="55" spans="1:20" x14ac:dyDescent="0.25">
      <c r="A55" s="33">
        <f t="shared" si="5"/>
        <v>44</v>
      </c>
      <c r="B55" s="34" t="str">
        <f>Timesheet!B60</f>
        <v>Activity 44</v>
      </c>
      <c r="C55" s="35">
        <f>Timesheet!C60</f>
        <v>0.3840277777777778</v>
      </c>
      <c r="D55" s="36">
        <f t="shared" si="3"/>
        <v>4.1666666666666519E-3</v>
      </c>
      <c r="E55" s="84" t="str">
        <f t="shared" si="6"/>
        <v>N</v>
      </c>
      <c r="F55" s="61">
        <v>17</v>
      </c>
      <c r="G55" s="37">
        <f t="shared" si="4"/>
        <v>4.1666666666666519E-3</v>
      </c>
      <c r="N55" s="194"/>
      <c r="O55" s="34" t="str">
        <f t="shared" si="14"/>
        <v>Non active meetings</v>
      </c>
      <c r="P55" s="34">
        <v>8</v>
      </c>
      <c r="Q55" s="87"/>
      <c r="R55" s="87"/>
      <c r="S55" s="45">
        <f t="shared" si="15"/>
        <v>7.5221238938053145E-2</v>
      </c>
      <c r="T55" s="102"/>
    </row>
    <row r="56" spans="1:20" x14ac:dyDescent="0.25">
      <c r="A56" s="33">
        <f t="shared" si="5"/>
        <v>45</v>
      </c>
      <c r="B56" s="34" t="str">
        <f>Timesheet!B61</f>
        <v>Activity 45</v>
      </c>
      <c r="C56" s="35">
        <f>Timesheet!C61</f>
        <v>0.38819444444444445</v>
      </c>
      <c r="D56" s="36">
        <f t="shared" si="3"/>
        <v>1.388888888888884E-3</v>
      </c>
      <c r="E56" s="84" t="str">
        <f t="shared" si="6"/>
        <v>N</v>
      </c>
      <c r="F56" s="61">
        <v>13</v>
      </c>
      <c r="G56" s="37">
        <f t="shared" si="4"/>
        <v>1.388888888888884E-3</v>
      </c>
      <c r="N56" s="194"/>
      <c r="O56" s="34" t="str">
        <f t="shared" si="14"/>
        <v>Training</v>
      </c>
      <c r="P56" s="34">
        <v>9</v>
      </c>
      <c r="Q56" s="87"/>
      <c r="R56" s="87"/>
      <c r="S56" s="45">
        <f t="shared" si="15"/>
        <v>3.0973451327433857E-2</v>
      </c>
      <c r="T56" s="102"/>
    </row>
    <row r="57" spans="1:20" x14ac:dyDescent="0.25">
      <c r="A57" s="33">
        <f t="shared" si="5"/>
        <v>46</v>
      </c>
      <c r="B57" s="34" t="str">
        <f>Timesheet!B62</f>
        <v>Activity 46</v>
      </c>
      <c r="C57" s="35">
        <f>Timesheet!C62</f>
        <v>0.38958333333333334</v>
      </c>
      <c r="D57" s="36">
        <f>IF(C58=0,0,C58-C57)</f>
        <v>1.1805555555555514E-2</v>
      </c>
      <c r="E57" s="84" t="str">
        <f t="shared" si="6"/>
        <v>N</v>
      </c>
      <c r="F57" s="61">
        <v>11</v>
      </c>
      <c r="G57" s="37">
        <f t="shared" si="4"/>
        <v>1.1805555555555514E-2</v>
      </c>
      <c r="N57" s="194"/>
      <c r="O57" s="34" t="str">
        <f t="shared" si="14"/>
        <v/>
      </c>
      <c r="P57" s="34">
        <v>10</v>
      </c>
      <c r="Q57" s="87"/>
      <c r="R57" s="87"/>
      <c r="S57" s="45">
        <f t="shared" si="15"/>
        <v>4.4247787610619286E-3</v>
      </c>
      <c r="T57" s="102"/>
    </row>
    <row r="58" spans="1:20" x14ac:dyDescent="0.25">
      <c r="A58" s="33">
        <f>A57+1</f>
        <v>47</v>
      </c>
      <c r="B58" s="34" t="str">
        <f>Timesheet!B63</f>
        <v>Activity 47</v>
      </c>
      <c r="C58" s="35">
        <f>Timesheet!C63</f>
        <v>0.40138888888888885</v>
      </c>
      <c r="D58" s="36">
        <f>IF(C59=0,0,C59-C58)</f>
        <v>1.388888888888884E-3</v>
      </c>
      <c r="E58" s="84" t="str">
        <f t="shared" si="6"/>
        <v>N</v>
      </c>
      <c r="F58" s="61">
        <v>13</v>
      </c>
      <c r="G58" s="37">
        <f t="shared" si="4"/>
        <v>1.388888888888884E-3</v>
      </c>
    </row>
    <row r="59" spans="1:20" x14ac:dyDescent="0.25">
      <c r="A59" s="33">
        <f>A58+1</f>
        <v>48</v>
      </c>
      <c r="B59" s="34" t="str">
        <f>Timesheet!B64</f>
        <v>Activity 48</v>
      </c>
      <c r="C59" s="35">
        <f>Timesheet!C64</f>
        <v>0.40277777777777773</v>
      </c>
      <c r="D59" s="36">
        <f t="shared" si="3"/>
        <v>3.0555555555555614E-2</v>
      </c>
      <c r="E59" s="84" t="str">
        <f t="shared" si="6"/>
        <v>V</v>
      </c>
      <c r="F59" s="61">
        <v>23</v>
      </c>
      <c r="G59" s="37">
        <f t="shared" si="4"/>
        <v>3.0555555555555614E-2</v>
      </c>
    </row>
    <row r="60" spans="1:20" ht="13" x14ac:dyDescent="0.3">
      <c r="A60" s="33">
        <f>A59+1</f>
        <v>49</v>
      </c>
      <c r="B60" s="34" t="str">
        <f>Timesheet!B65</f>
        <v>Activity 49</v>
      </c>
      <c r="C60" s="35">
        <f>Timesheet!C65</f>
        <v>0.43333333333333335</v>
      </c>
      <c r="D60" s="36">
        <f t="shared" si="3"/>
        <v>6.9444444444438647E-4</v>
      </c>
      <c r="E60" s="84" t="str">
        <f t="shared" si="6"/>
        <v>N</v>
      </c>
      <c r="F60" s="61">
        <v>13</v>
      </c>
      <c r="G60" s="37">
        <f t="shared" si="4"/>
        <v>6.9444444444438647E-4</v>
      </c>
      <c r="N60" s="189" t="s">
        <v>61</v>
      </c>
      <c r="O60" s="189"/>
    </row>
    <row r="61" spans="1:20" x14ac:dyDescent="0.25">
      <c r="A61" s="33">
        <f>A60+1</f>
        <v>50</v>
      </c>
      <c r="B61" s="34" t="str">
        <f>Timesheet!B66</f>
        <v>Activity 50</v>
      </c>
      <c r="C61" s="35">
        <f>Timesheet!C66</f>
        <v>0.43402777777777773</v>
      </c>
      <c r="D61" s="36">
        <f t="shared" si="3"/>
        <v>2.7777777777777679E-3</v>
      </c>
      <c r="E61" s="84" t="str">
        <f t="shared" si="6"/>
        <v>N</v>
      </c>
      <c r="F61" s="61">
        <v>14</v>
      </c>
      <c r="G61" s="37">
        <f t="shared" si="4"/>
        <v>2.7777777777777679E-3</v>
      </c>
      <c r="Q61" s="153" t="s">
        <v>176</v>
      </c>
      <c r="R61" s="153" t="s">
        <v>175</v>
      </c>
    </row>
    <row r="62" spans="1:20" ht="13" x14ac:dyDescent="0.3">
      <c r="A62" s="33">
        <f t="shared" ref="A62:A104" si="16">A61+1</f>
        <v>51</v>
      </c>
      <c r="B62" s="34" t="str">
        <f>Timesheet!B67</f>
        <v>Activity 51</v>
      </c>
      <c r="C62" s="35">
        <f>Timesheet!C67</f>
        <v>0.4368055555555555</v>
      </c>
      <c r="D62" s="36">
        <f t="shared" si="3"/>
        <v>4.1666666666667629E-3</v>
      </c>
      <c r="E62" s="84" t="str">
        <f t="shared" si="6"/>
        <v>N</v>
      </c>
      <c r="F62" s="61">
        <v>15</v>
      </c>
      <c r="G62" s="37">
        <f t="shared" si="4"/>
        <v>4.1666666666667629E-3</v>
      </c>
      <c r="O62" s="103" t="s">
        <v>41</v>
      </c>
      <c r="Q62" s="89">
        <f>R47</f>
        <v>0.47083333333333355</v>
      </c>
      <c r="R62" s="89">
        <f>R46</f>
        <v>0.52916666666666634</v>
      </c>
    </row>
    <row r="63" spans="1:20" x14ac:dyDescent="0.25">
      <c r="A63" s="33">
        <f t="shared" si="16"/>
        <v>52</v>
      </c>
      <c r="B63" s="34" t="str">
        <f>Timesheet!B68</f>
        <v>Activity 52</v>
      </c>
      <c r="C63" s="35">
        <f>Timesheet!C68</f>
        <v>0.44097222222222227</v>
      </c>
      <c r="D63" s="36">
        <f t="shared" si="3"/>
        <v>2.7777777777777124E-3</v>
      </c>
      <c r="E63" s="84" t="str">
        <f t="shared" si="6"/>
        <v>V</v>
      </c>
      <c r="F63" s="61">
        <v>27</v>
      </c>
      <c r="G63" s="37">
        <f t="shared" si="4"/>
        <v>2.7777777777777124E-3</v>
      </c>
      <c r="O63" s="6" t="str">
        <f t="shared" ref="O63:O72" si="17">+O48</f>
        <v>Available</v>
      </c>
      <c r="Q63" s="101">
        <f t="shared" ref="Q63:Q72" si="18">Q62-S48*$R$47</f>
        <v>0.39583333333333365</v>
      </c>
      <c r="R63" s="89">
        <f>S48*$R$47</f>
        <v>7.4999999999999886E-2</v>
      </c>
    </row>
    <row r="64" spans="1:20" x14ac:dyDescent="0.25">
      <c r="A64" s="33">
        <f t="shared" si="16"/>
        <v>53</v>
      </c>
      <c r="B64" s="34" t="str">
        <f>Timesheet!B69</f>
        <v>Activity 53</v>
      </c>
      <c r="C64" s="35">
        <f>Timesheet!C69</f>
        <v>0.44374999999999998</v>
      </c>
      <c r="D64" s="36">
        <f t="shared" si="3"/>
        <v>1.3888888888889395E-3</v>
      </c>
      <c r="E64" s="84" t="str">
        <f t="shared" si="6"/>
        <v>N</v>
      </c>
      <c r="F64" s="61">
        <v>13</v>
      </c>
      <c r="G64" s="37">
        <f t="shared" si="4"/>
        <v>1.3888888888889395E-3</v>
      </c>
      <c r="O64" s="6" t="str">
        <f t="shared" si="17"/>
        <v>Waiting</v>
      </c>
      <c r="Q64" s="101">
        <f t="shared" si="18"/>
        <v>0.32500000000000057</v>
      </c>
      <c r="R64" s="89">
        <f t="shared" ref="R64" si="19">S49*$R$47</f>
        <v>7.0833333333333082E-2</v>
      </c>
    </row>
    <row r="65" spans="1:18" x14ac:dyDescent="0.25">
      <c r="A65" s="33">
        <f t="shared" si="16"/>
        <v>54</v>
      </c>
      <c r="B65" s="34" t="str">
        <f>Timesheet!B70</f>
        <v>Activity 54</v>
      </c>
      <c r="C65" s="35">
        <f>Timesheet!C70</f>
        <v>0.44513888888888892</v>
      </c>
      <c r="D65" s="36">
        <f t="shared" si="3"/>
        <v>6.9444444444444198E-3</v>
      </c>
      <c r="E65" s="84" t="str">
        <f t="shared" si="6"/>
        <v>V</v>
      </c>
      <c r="F65" s="61">
        <v>28</v>
      </c>
      <c r="G65" s="37">
        <f t="shared" si="4"/>
        <v>6.9444444444444198E-3</v>
      </c>
      <c r="O65" s="6" t="str">
        <f t="shared" si="17"/>
        <v>Rework</v>
      </c>
      <c r="Q65" s="101">
        <f t="shared" si="18"/>
        <v>0.25625000000000064</v>
      </c>
      <c r="R65" s="89">
        <f t="shared" ref="R65:R72" si="20">S50*$R$47</f>
        <v>6.8749999999999922E-2</v>
      </c>
    </row>
    <row r="66" spans="1:18" x14ac:dyDescent="0.25">
      <c r="A66" s="33">
        <f t="shared" si="16"/>
        <v>55</v>
      </c>
      <c r="B66" s="34" t="str">
        <f>Timesheet!B71</f>
        <v>Activity 55</v>
      </c>
      <c r="C66" s="35">
        <f>Timesheet!C71</f>
        <v>0.45208333333333334</v>
      </c>
      <c r="D66" s="36">
        <f t="shared" si="3"/>
        <v>6.9444444444444198E-4</v>
      </c>
      <c r="E66" s="84" t="str">
        <f t="shared" si="6"/>
        <v>N</v>
      </c>
      <c r="F66" s="61">
        <v>13</v>
      </c>
      <c r="G66" s="37">
        <f t="shared" si="4"/>
        <v>6.9444444444444198E-4</v>
      </c>
      <c r="O66" s="6" t="str">
        <f t="shared" si="17"/>
        <v>Extended break</v>
      </c>
      <c r="Q66" s="101">
        <f t="shared" si="18"/>
        <v>0.19166666666666687</v>
      </c>
      <c r="R66" s="89">
        <f t="shared" si="20"/>
        <v>6.458333333333377E-2</v>
      </c>
    </row>
    <row r="67" spans="1:18" x14ac:dyDescent="0.25">
      <c r="A67" s="33">
        <f t="shared" si="16"/>
        <v>56</v>
      </c>
      <c r="B67" s="34" t="str">
        <f>Timesheet!B72</f>
        <v>Activity 56</v>
      </c>
      <c r="C67" s="35">
        <f>Timesheet!C72</f>
        <v>0.45277777777777778</v>
      </c>
      <c r="D67" s="36">
        <f t="shared" si="3"/>
        <v>7.6388888888889173E-3</v>
      </c>
      <c r="E67" s="84" t="str">
        <f t="shared" si="6"/>
        <v>N</v>
      </c>
      <c r="F67" s="61">
        <v>17</v>
      </c>
      <c r="G67" s="37">
        <f t="shared" si="4"/>
        <v>7.6388888888889173E-3</v>
      </c>
      <c r="O67" s="6" t="str">
        <f t="shared" si="17"/>
        <v>Travel</v>
      </c>
      <c r="Q67" s="101">
        <f t="shared" si="18"/>
        <v>0.13750000000000023</v>
      </c>
      <c r="R67" s="89">
        <f t="shared" si="20"/>
        <v>5.4166666666666641E-2</v>
      </c>
    </row>
    <row r="68" spans="1:18" x14ac:dyDescent="0.25">
      <c r="A68" s="33">
        <f t="shared" si="16"/>
        <v>57</v>
      </c>
      <c r="B68" s="34" t="str">
        <f>Timesheet!B73</f>
        <v>Activity 57</v>
      </c>
      <c r="C68" s="35">
        <f>Timesheet!C73</f>
        <v>0.4604166666666667</v>
      </c>
      <c r="D68" s="36">
        <f t="shared" si="3"/>
        <v>1.1805555555555569E-2</v>
      </c>
      <c r="E68" s="84" t="str">
        <f t="shared" si="6"/>
        <v>V</v>
      </c>
      <c r="F68" s="61">
        <v>24</v>
      </c>
      <c r="G68" s="37">
        <f t="shared" si="4"/>
        <v>1.1805555555555569E-2</v>
      </c>
      <c r="O68" s="6" t="str">
        <f t="shared" si="17"/>
        <v>Excessive Calling/alerting</v>
      </c>
      <c r="Q68" s="101">
        <f t="shared" si="18"/>
        <v>9.1666666666666896E-2</v>
      </c>
      <c r="R68" s="89">
        <f t="shared" si="20"/>
        <v>4.5833333333333337E-2</v>
      </c>
    </row>
    <row r="69" spans="1:18" x14ac:dyDescent="0.25">
      <c r="A69" s="33">
        <f t="shared" si="16"/>
        <v>58</v>
      </c>
      <c r="B69" s="34" t="str">
        <f>Timesheet!B74</f>
        <v>Activity 58</v>
      </c>
      <c r="C69" s="35">
        <f>Timesheet!C74</f>
        <v>0.47222222222222227</v>
      </c>
      <c r="D69" s="36">
        <f t="shared" si="3"/>
        <v>6.9444444444438647E-4</v>
      </c>
      <c r="E69" s="84" t="str">
        <f t="shared" si="6"/>
        <v>N</v>
      </c>
      <c r="F69" s="61">
        <v>13</v>
      </c>
      <c r="G69" s="37">
        <f t="shared" si="4"/>
        <v>6.9444444444438647E-4</v>
      </c>
      <c r="O69" s="6" t="str">
        <f t="shared" si="17"/>
        <v>Administrative tasks/keing reporting data</v>
      </c>
      <c r="Q69" s="101">
        <f t="shared" si="18"/>
        <v>5.2083333333333454E-2</v>
      </c>
      <c r="R69" s="89">
        <f t="shared" si="20"/>
        <v>3.9583333333333443E-2</v>
      </c>
    </row>
    <row r="70" spans="1:18" x14ac:dyDescent="0.25">
      <c r="A70" s="33">
        <f t="shared" si="16"/>
        <v>59</v>
      </c>
      <c r="B70" s="34" t="str">
        <f>Timesheet!B75</f>
        <v>Activity 59</v>
      </c>
      <c r="C70" s="35">
        <f>Timesheet!C75</f>
        <v>0.47291666666666665</v>
      </c>
      <c r="D70" s="36">
        <f t="shared" si="3"/>
        <v>2.7777777777777679E-3</v>
      </c>
      <c r="E70" s="84" t="str">
        <f t="shared" si="6"/>
        <v>V</v>
      </c>
      <c r="F70" s="61">
        <v>24</v>
      </c>
      <c r="G70" s="37">
        <f t="shared" si="4"/>
        <v>2.7777777777777679E-3</v>
      </c>
      <c r="O70" s="6" t="str">
        <f t="shared" si="17"/>
        <v>Non active meetings</v>
      </c>
      <c r="Q70" s="101">
        <f t="shared" si="18"/>
        <v>1.6666666666666746E-2</v>
      </c>
      <c r="R70" s="89">
        <f t="shared" si="20"/>
        <v>3.5416666666666707E-2</v>
      </c>
    </row>
    <row r="71" spans="1:18" x14ac:dyDescent="0.25">
      <c r="A71" s="33">
        <f t="shared" si="16"/>
        <v>60</v>
      </c>
      <c r="B71" s="34" t="str">
        <f>Timesheet!B76</f>
        <v>Activity 60</v>
      </c>
      <c r="C71" s="35">
        <f>Timesheet!C76</f>
        <v>0.47569444444444442</v>
      </c>
      <c r="D71" s="36">
        <f t="shared" si="3"/>
        <v>2.7777777777777679E-3</v>
      </c>
      <c r="E71" s="84" t="str">
        <f t="shared" si="6"/>
        <v>N</v>
      </c>
      <c r="F71" s="61">
        <v>13</v>
      </c>
      <c r="G71" s="37">
        <f t="shared" si="4"/>
        <v>2.7777777777777679E-3</v>
      </c>
      <c r="O71" s="6" t="str">
        <f t="shared" si="17"/>
        <v>Training</v>
      </c>
      <c r="Q71" s="101">
        <f t="shared" si="18"/>
        <v>2.0833333333332982E-3</v>
      </c>
      <c r="R71" s="89">
        <f t="shared" si="20"/>
        <v>1.4583333333333448E-2</v>
      </c>
    </row>
    <row r="72" spans="1:18" x14ac:dyDescent="0.25">
      <c r="A72" s="33">
        <f t="shared" si="16"/>
        <v>61</v>
      </c>
      <c r="B72" s="34" t="str">
        <f>Timesheet!B77</f>
        <v>Activity 61</v>
      </c>
      <c r="C72" s="35">
        <f>Timesheet!C77</f>
        <v>0.47847222222222219</v>
      </c>
      <c r="D72" s="36">
        <f t="shared" si="3"/>
        <v>2.7777777777778234E-3</v>
      </c>
      <c r="E72" s="84" t="str">
        <f t="shared" si="6"/>
        <v>N</v>
      </c>
      <c r="F72" s="61">
        <v>13</v>
      </c>
      <c r="G72" s="37">
        <f t="shared" si="4"/>
        <v>2.7777777777778234E-3</v>
      </c>
      <c r="O72" s="6" t="str">
        <f t="shared" si="17"/>
        <v/>
      </c>
      <c r="Q72" s="101">
        <f t="shared" si="18"/>
        <v>-2.7321894746634712E-17</v>
      </c>
      <c r="R72" s="89">
        <f t="shared" si="20"/>
        <v>2.0833333333333255E-3</v>
      </c>
    </row>
    <row r="73" spans="1:18" x14ac:dyDescent="0.25">
      <c r="A73" s="33">
        <f t="shared" si="16"/>
        <v>62</v>
      </c>
      <c r="B73" s="34" t="str">
        <f>Timesheet!B78</f>
        <v>Activity 62</v>
      </c>
      <c r="C73" s="35">
        <f>Timesheet!C78</f>
        <v>0.48125000000000001</v>
      </c>
      <c r="D73" s="36">
        <f t="shared" si="3"/>
        <v>1.1805555555555569E-2</v>
      </c>
      <c r="E73" s="84" t="str">
        <f t="shared" si="6"/>
        <v>V</v>
      </c>
      <c r="F73" s="61">
        <v>25</v>
      </c>
      <c r="G73" s="37">
        <f t="shared" si="4"/>
        <v>1.1805555555555569E-2</v>
      </c>
    </row>
    <row r="74" spans="1:18" x14ac:dyDescent="0.25">
      <c r="A74" s="33">
        <f t="shared" si="16"/>
        <v>63</v>
      </c>
      <c r="B74" s="34" t="str">
        <f>Timesheet!B79</f>
        <v>Activity 63</v>
      </c>
      <c r="C74" s="35">
        <f>Timesheet!C79</f>
        <v>0.49305555555555558</v>
      </c>
      <c r="D74" s="36">
        <f t="shared" si="3"/>
        <v>3.4722222222221544E-3</v>
      </c>
      <c r="E74" s="84" t="str">
        <f t="shared" si="6"/>
        <v>N</v>
      </c>
      <c r="F74" s="61">
        <v>14</v>
      </c>
      <c r="G74" s="37">
        <f t="shared" si="4"/>
        <v>3.4722222222221544E-3</v>
      </c>
    </row>
    <row r="75" spans="1:18" x14ac:dyDescent="0.25">
      <c r="A75" s="33">
        <f t="shared" si="16"/>
        <v>64</v>
      </c>
      <c r="B75" s="34" t="str">
        <f>Timesheet!B80</f>
        <v>Activity 64</v>
      </c>
      <c r="C75" s="35">
        <f>Timesheet!C80</f>
        <v>0.49652777777777773</v>
      </c>
      <c r="D75" s="36">
        <f t="shared" si="3"/>
        <v>1.0416666666666685E-2</v>
      </c>
      <c r="E75" s="84" t="str">
        <f t="shared" si="6"/>
        <v>N</v>
      </c>
      <c r="F75" s="61">
        <v>18</v>
      </c>
      <c r="G75" s="37">
        <f t="shared" si="4"/>
        <v>1.0416666666666685E-2</v>
      </c>
    </row>
    <row r="76" spans="1:18" x14ac:dyDescent="0.25">
      <c r="A76" s="33">
        <f t="shared" si="16"/>
        <v>65</v>
      </c>
      <c r="B76" s="34" t="str">
        <f>Timesheet!B81</f>
        <v>Activity 65</v>
      </c>
      <c r="C76" s="35">
        <f>Timesheet!C81</f>
        <v>0.50694444444444442</v>
      </c>
      <c r="D76" s="36">
        <f t="shared" si="3"/>
        <v>6.9444444444445308E-3</v>
      </c>
      <c r="E76" s="84" t="str">
        <f t="shared" si="6"/>
        <v>N</v>
      </c>
      <c r="F76" s="61">
        <v>14</v>
      </c>
      <c r="G76" s="37">
        <f t="shared" si="4"/>
        <v>6.9444444444445308E-3</v>
      </c>
    </row>
    <row r="77" spans="1:18" x14ac:dyDescent="0.25">
      <c r="A77" s="33">
        <f t="shared" si="16"/>
        <v>66</v>
      </c>
      <c r="B77" s="34" t="str">
        <f>Timesheet!B82</f>
        <v>Activity 66</v>
      </c>
      <c r="C77" s="35">
        <f>Timesheet!C82</f>
        <v>0.51388888888888895</v>
      </c>
      <c r="D77" s="36">
        <f t="shared" ref="D77:D108" si="21">IF(C78=0,0,C78-C77)</f>
        <v>1.041666666666663E-2</v>
      </c>
      <c r="E77" s="84" t="str">
        <f t="shared" ref="E77:E140" si="22">IF(LEFT(F77,1)="1","N",IF(LEFT(F77,1)="2","V",""))</f>
        <v>V</v>
      </c>
      <c r="F77" s="61">
        <v>21</v>
      </c>
      <c r="G77" s="37">
        <f t="shared" ref="G77:G140" si="23">D77</f>
        <v>1.041666666666663E-2</v>
      </c>
    </row>
    <row r="78" spans="1:18" x14ac:dyDescent="0.25">
      <c r="A78" s="33">
        <f t="shared" si="16"/>
        <v>67</v>
      </c>
      <c r="B78" s="34" t="str">
        <f>Timesheet!B83</f>
        <v>Activity 67</v>
      </c>
      <c r="C78" s="35">
        <f>Timesheet!C83</f>
        <v>0.52430555555555558</v>
      </c>
      <c r="D78" s="36">
        <f t="shared" si="21"/>
        <v>1.7361111111111049E-2</v>
      </c>
      <c r="E78" s="84" t="str">
        <f t="shared" si="22"/>
        <v>V</v>
      </c>
      <c r="F78" s="61">
        <v>26</v>
      </c>
      <c r="G78" s="37">
        <f t="shared" si="23"/>
        <v>1.7361111111111049E-2</v>
      </c>
    </row>
    <row r="79" spans="1:18" x14ac:dyDescent="0.25">
      <c r="A79" s="33">
        <f t="shared" si="16"/>
        <v>68</v>
      </c>
      <c r="B79" s="34" t="str">
        <f>Timesheet!B84</f>
        <v>Activity 68</v>
      </c>
      <c r="C79" s="35">
        <f>Timesheet!C84</f>
        <v>0.54166666666666663</v>
      </c>
      <c r="D79" s="36">
        <f t="shared" si="21"/>
        <v>1.388888888888884E-3</v>
      </c>
      <c r="E79" s="84" t="str">
        <f t="shared" si="22"/>
        <v>N</v>
      </c>
      <c r="F79" s="61">
        <v>13</v>
      </c>
      <c r="G79" s="37">
        <f t="shared" si="23"/>
        <v>1.388888888888884E-3</v>
      </c>
    </row>
    <row r="80" spans="1:18" x14ac:dyDescent="0.25">
      <c r="A80" s="33">
        <f t="shared" si="16"/>
        <v>69</v>
      </c>
      <c r="B80" s="34" t="str">
        <f>Timesheet!B85</f>
        <v>Activity 69</v>
      </c>
      <c r="C80" s="35">
        <f>Timesheet!C85</f>
        <v>0.54305555555555551</v>
      </c>
      <c r="D80" s="36">
        <f t="shared" si="21"/>
        <v>1.2500000000000067E-2</v>
      </c>
      <c r="E80" s="84" t="str">
        <f t="shared" si="22"/>
        <v>N</v>
      </c>
      <c r="F80" s="61">
        <v>15</v>
      </c>
      <c r="G80" s="37">
        <f t="shared" si="23"/>
        <v>1.2500000000000067E-2</v>
      </c>
    </row>
    <row r="81" spans="1:7" x14ac:dyDescent="0.25">
      <c r="A81" s="33">
        <f t="shared" si="16"/>
        <v>70</v>
      </c>
      <c r="B81" s="34" t="str">
        <f>Timesheet!B86</f>
        <v>End of observation</v>
      </c>
      <c r="C81" s="35">
        <f>Timesheet!C86</f>
        <v>0.55555555555555558</v>
      </c>
      <c r="D81" s="36">
        <f t="shared" si="21"/>
        <v>0</v>
      </c>
      <c r="E81" s="84" t="str">
        <f t="shared" si="22"/>
        <v>V</v>
      </c>
      <c r="F81" s="61">
        <v>22</v>
      </c>
      <c r="G81" s="37">
        <f t="shared" si="23"/>
        <v>0</v>
      </c>
    </row>
    <row r="82" spans="1:7" x14ac:dyDescent="0.25">
      <c r="A82" s="33">
        <f t="shared" si="16"/>
        <v>71</v>
      </c>
      <c r="B82" s="34">
        <f>Timesheet!B87</f>
        <v>0</v>
      </c>
      <c r="C82" s="35">
        <f>Timesheet!C87</f>
        <v>0</v>
      </c>
      <c r="D82" s="36">
        <f t="shared" si="21"/>
        <v>0</v>
      </c>
      <c r="E82" s="84" t="str">
        <f t="shared" si="22"/>
        <v/>
      </c>
      <c r="F82" s="61"/>
      <c r="G82" s="37">
        <f t="shared" si="23"/>
        <v>0</v>
      </c>
    </row>
    <row r="83" spans="1:7" x14ac:dyDescent="0.25">
      <c r="A83" s="33">
        <f t="shared" si="16"/>
        <v>72</v>
      </c>
      <c r="B83" s="34">
        <f>Timesheet!B88</f>
        <v>0</v>
      </c>
      <c r="C83" s="35">
        <f>Timesheet!C88</f>
        <v>0</v>
      </c>
      <c r="D83" s="36">
        <f t="shared" si="21"/>
        <v>0</v>
      </c>
      <c r="E83" s="84" t="str">
        <f t="shared" si="22"/>
        <v/>
      </c>
      <c r="F83" s="61"/>
      <c r="G83" s="37">
        <f t="shared" si="23"/>
        <v>0</v>
      </c>
    </row>
    <row r="84" spans="1:7" x14ac:dyDescent="0.25">
      <c r="A84" s="33">
        <f t="shared" si="16"/>
        <v>73</v>
      </c>
      <c r="B84" s="34">
        <f>Timesheet!B89</f>
        <v>0</v>
      </c>
      <c r="C84" s="35">
        <f>Timesheet!C89</f>
        <v>0</v>
      </c>
      <c r="D84" s="36">
        <f t="shared" si="21"/>
        <v>0</v>
      </c>
      <c r="E84" s="84" t="str">
        <f t="shared" si="22"/>
        <v/>
      </c>
      <c r="F84" s="61"/>
      <c r="G84" s="37">
        <f t="shared" si="23"/>
        <v>0</v>
      </c>
    </row>
    <row r="85" spans="1:7" x14ac:dyDescent="0.25">
      <c r="A85" s="33">
        <f t="shared" si="16"/>
        <v>74</v>
      </c>
      <c r="B85" s="34">
        <f>Timesheet!B90</f>
        <v>0</v>
      </c>
      <c r="C85" s="35">
        <f>Timesheet!C90</f>
        <v>0</v>
      </c>
      <c r="D85" s="36">
        <f t="shared" si="21"/>
        <v>0</v>
      </c>
      <c r="E85" s="84" t="str">
        <f t="shared" si="22"/>
        <v/>
      </c>
      <c r="F85" s="61"/>
      <c r="G85" s="37">
        <f t="shared" si="23"/>
        <v>0</v>
      </c>
    </row>
    <row r="86" spans="1:7" x14ac:dyDescent="0.25">
      <c r="A86" s="33">
        <f t="shared" si="16"/>
        <v>75</v>
      </c>
      <c r="B86" s="34">
        <f>Timesheet!B91</f>
        <v>0</v>
      </c>
      <c r="C86" s="35">
        <f>Timesheet!C91</f>
        <v>0</v>
      </c>
      <c r="D86" s="36">
        <f t="shared" si="21"/>
        <v>0</v>
      </c>
      <c r="E86" s="84" t="str">
        <f t="shared" si="22"/>
        <v/>
      </c>
      <c r="F86" s="61"/>
      <c r="G86" s="37">
        <f t="shared" si="23"/>
        <v>0</v>
      </c>
    </row>
    <row r="87" spans="1:7" x14ac:dyDescent="0.25">
      <c r="A87" s="33">
        <f t="shared" si="16"/>
        <v>76</v>
      </c>
      <c r="B87" s="34">
        <f>Timesheet!B92</f>
        <v>0</v>
      </c>
      <c r="C87" s="35">
        <f>Timesheet!C92</f>
        <v>0</v>
      </c>
      <c r="D87" s="36">
        <f t="shared" si="21"/>
        <v>0</v>
      </c>
      <c r="E87" s="84" t="str">
        <f t="shared" si="22"/>
        <v/>
      </c>
      <c r="F87" s="61"/>
      <c r="G87" s="37">
        <f t="shared" si="23"/>
        <v>0</v>
      </c>
    </row>
    <row r="88" spans="1:7" x14ac:dyDescent="0.25">
      <c r="A88" s="33">
        <f t="shared" si="16"/>
        <v>77</v>
      </c>
      <c r="B88" s="34">
        <f>Timesheet!B93</f>
        <v>0</v>
      </c>
      <c r="C88" s="35">
        <f>Timesheet!C93</f>
        <v>0</v>
      </c>
      <c r="D88" s="36">
        <f t="shared" si="21"/>
        <v>0</v>
      </c>
      <c r="E88" s="84" t="str">
        <f t="shared" si="22"/>
        <v/>
      </c>
      <c r="F88" s="61"/>
      <c r="G88" s="37">
        <f t="shared" si="23"/>
        <v>0</v>
      </c>
    </row>
    <row r="89" spans="1:7" x14ac:dyDescent="0.25">
      <c r="A89" s="33">
        <f t="shared" si="16"/>
        <v>78</v>
      </c>
      <c r="B89" s="34">
        <f>Timesheet!B94</f>
        <v>0</v>
      </c>
      <c r="C89" s="35">
        <f>Timesheet!C94</f>
        <v>0</v>
      </c>
      <c r="D89" s="36">
        <f t="shared" si="21"/>
        <v>0</v>
      </c>
      <c r="E89" s="84" t="str">
        <f t="shared" si="22"/>
        <v/>
      </c>
      <c r="F89" s="61"/>
      <c r="G89" s="37">
        <f t="shared" si="23"/>
        <v>0</v>
      </c>
    </row>
    <row r="90" spans="1:7" x14ac:dyDescent="0.25">
      <c r="A90" s="33">
        <f t="shared" si="16"/>
        <v>79</v>
      </c>
      <c r="B90" s="34">
        <f>Timesheet!B95</f>
        <v>0</v>
      </c>
      <c r="C90" s="35">
        <f>Timesheet!C95</f>
        <v>0</v>
      </c>
      <c r="D90" s="36">
        <f t="shared" si="21"/>
        <v>0</v>
      </c>
      <c r="E90" s="84" t="str">
        <f t="shared" si="22"/>
        <v/>
      </c>
      <c r="F90" s="61"/>
      <c r="G90" s="37">
        <f t="shared" si="23"/>
        <v>0</v>
      </c>
    </row>
    <row r="91" spans="1:7" x14ac:dyDescent="0.25">
      <c r="A91" s="33">
        <f t="shared" si="16"/>
        <v>80</v>
      </c>
      <c r="B91" s="34">
        <f>Timesheet!B96</f>
        <v>0</v>
      </c>
      <c r="C91" s="35">
        <f>Timesheet!C96</f>
        <v>0</v>
      </c>
      <c r="D91" s="36">
        <f t="shared" si="21"/>
        <v>0</v>
      </c>
      <c r="E91" s="84" t="str">
        <f t="shared" si="22"/>
        <v/>
      </c>
      <c r="F91" s="61"/>
      <c r="G91" s="37">
        <f t="shared" si="23"/>
        <v>0</v>
      </c>
    </row>
    <row r="92" spans="1:7" x14ac:dyDescent="0.25">
      <c r="A92" s="33">
        <f t="shared" si="16"/>
        <v>81</v>
      </c>
      <c r="B92" s="34">
        <f>Timesheet!B97</f>
        <v>0</v>
      </c>
      <c r="C92" s="35">
        <f>Timesheet!C97</f>
        <v>0</v>
      </c>
      <c r="D92" s="36">
        <f t="shared" si="21"/>
        <v>0</v>
      </c>
      <c r="E92" s="84" t="str">
        <f t="shared" si="22"/>
        <v/>
      </c>
      <c r="F92" s="61"/>
      <c r="G92" s="37">
        <f t="shared" si="23"/>
        <v>0</v>
      </c>
    </row>
    <row r="93" spans="1:7" x14ac:dyDescent="0.25">
      <c r="A93" s="33">
        <f t="shared" si="16"/>
        <v>82</v>
      </c>
      <c r="B93" s="34">
        <f>Timesheet!B98</f>
        <v>0</v>
      </c>
      <c r="C93" s="35">
        <f>Timesheet!C98</f>
        <v>0</v>
      </c>
      <c r="D93" s="36">
        <f t="shared" si="21"/>
        <v>0</v>
      </c>
      <c r="E93" s="84" t="str">
        <f t="shared" si="22"/>
        <v/>
      </c>
      <c r="F93" s="61"/>
      <c r="G93" s="37">
        <f t="shared" si="23"/>
        <v>0</v>
      </c>
    </row>
    <row r="94" spans="1:7" x14ac:dyDescent="0.25">
      <c r="A94" s="33">
        <f t="shared" si="16"/>
        <v>83</v>
      </c>
      <c r="B94" s="34">
        <f>Timesheet!B99</f>
        <v>0</v>
      </c>
      <c r="C94" s="35">
        <f>Timesheet!C99</f>
        <v>0</v>
      </c>
      <c r="D94" s="36">
        <f t="shared" si="21"/>
        <v>0</v>
      </c>
      <c r="E94" s="84" t="str">
        <f t="shared" si="22"/>
        <v/>
      </c>
      <c r="F94" s="61"/>
      <c r="G94" s="37">
        <f t="shared" si="23"/>
        <v>0</v>
      </c>
    </row>
    <row r="95" spans="1:7" x14ac:dyDescent="0.25">
      <c r="A95" s="33">
        <f t="shared" si="16"/>
        <v>84</v>
      </c>
      <c r="B95" s="34">
        <f>Timesheet!B100</f>
        <v>0</v>
      </c>
      <c r="C95" s="35">
        <f>Timesheet!C100</f>
        <v>0</v>
      </c>
      <c r="D95" s="36">
        <f t="shared" si="21"/>
        <v>0</v>
      </c>
      <c r="E95" s="84" t="str">
        <f t="shared" si="22"/>
        <v/>
      </c>
      <c r="F95" s="61"/>
      <c r="G95" s="37">
        <f t="shared" si="23"/>
        <v>0</v>
      </c>
    </row>
    <row r="96" spans="1:7" x14ac:dyDescent="0.25">
      <c r="A96" s="33">
        <f t="shared" si="16"/>
        <v>85</v>
      </c>
      <c r="B96" s="34">
        <f>Timesheet!B101</f>
        <v>0</v>
      </c>
      <c r="C96" s="35">
        <f>Timesheet!C101</f>
        <v>0</v>
      </c>
      <c r="D96" s="36">
        <f t="shared" si="21"/>
        <v>0</v>
      </c>
      <c r="E96" s="84" t="str">
        <f t="shared" si="22"/>
        <v/>
      </c>
      <c r="F96" s="61"/>
      <c r="G96" s="37">
        <f t="shared" si="23"/>
        <v>0</v>
      </c>
    </row>
    <row r="97" spans="1:7" x14ac:dyDescent="0.25">
      <c r="A97" s="33">
        <f t="shared" si="16"/>
        <v>86</v>
      </c>
      <c r="B97" s="34">
        <f>Timesheet!B102</f>
        <v>0</v>
      </c>
      <c r="C97" s="35">
        <f>Timesheet!C102</f>
        <v>0</v>
      </c>
      <c r="D97" s="36">
        <f t="shared" si="21"/>
        <v>0</v>
      </c>
      <c r="E97" s="84" t="str">
        <f t="shared" si="22"/>
        <v/>
      </c>
      <c r="F97" s="61"/>
      <c r="G97" s="37">
        <f t="shared" si="23"/>
        <v>0</v>
      </c>
    </row>
    <row r="98" spans="1:7" x14ac:dyDescent="0.25">
      <c r="A98" s="33">
        <f t="shared" si="16"/>
        <v>87</v>
      </c>
      <c r="B98" s="34">
        <f>Timesheet!B103</f>
        <v>0</v>
      </c>
      <c r="C98" s="35">
        <f>Timesheet!C103</f>
        <v>0</v>
      </c>
      <c r="D98" s="36">
        <f t="shared" si="21"/>
        <v>0</v>
      </c>
      <c r="E98" s="84" t="str">
        <f t="shared" si="22"/>
        <v/>
      </c>
      <c r="F98" s="61"/>
      <c r="G98" s="37">
        <f t="shared" si="23"/>
        <v>0</v>
      </c>
    </row>
    <row r="99" spans="1:7" x14ac:dyDescent="0.25">
      <c r="A99" s="33">
        <f t="shared" si="16"/>
        <v>88</v>
      </c>
      <c r="B99" s="34">
        <f>Timesheet!B104</f>
        <v>0</v>
      </c>
      <c r="C99" s="35">
        <f>Timesheet!C104</f>
        <v>0</v>
      </c>
      <c r="D99" s="36">
        <f t="shared" si="21"/>
        <v>0</v>
      </c>
      <c r="E99" s="84" t="str">
        <f t="shared" si="22"/>
        <v/>
      </c>
      <c r="F99" s="61"/>
      <c r="G99" s="37">
        <f t="shared" si="23"/>
        <v>0</v>
      </c>
    </row>
    <row r="100" spans="1:7" x14ac:dyDescent="0.25">
      <c r="A100" s="33">
        <f t="shared" si="16"/>
        <v>89</v>
      </c>
      <c r="B100" s="34">
        <f>Timesheet!B105</f>
        <v>0</v>
      </c>
      <c r="C100" s="35">
        <f>Timesheet!C105</f>
        <v>0</v>
      </c>
      <c r="D100" s="36">
        <f t="shared" si="21"/>
        <v>0</v>
      </c>
      <c r="E100" s="84" t="str">
        <f t="shared" si="22"/>
        <v/>
      </c>
      <c r="F100" s="61"/>
      <c r="G100" s="37">
        <f t="shared" si="23"/>
        <v>0</v>
      </c>
    </row>
    <row r="101" spans="1:7" x14ac:dyDescent="0.25">
      <c r="A101" s="33">
        <f t="shared" si="16"/>
        <v>90</v>
      </c>
      <c r="B101" s="34">
        <f>Timesheet!B106</f>
        <v>0</v>
      </c>
      <c r="C101" s="35">
        <f>Timesheet!C106</f>
        <v>0</v>
      </c>
      <c r="D101" s="36">
        <f t="shared" si="21"/>
        <v>0</v>
      </c>
      <c r="E101" s="84" t="str">
        <f t="shared" si="22"/>
        <v/>
      </c>
      <c r="F101" s="61"/>
      <c r="G101" s="37">
        <f t="shared" si="23"/>
        <v>0</v>
      </c>
    </row>
    <row r="102" spans="1:7" x14ac:dyDescent="0.25">
      <c r="A102" s="33">
        <f t="shared" si="16"/>
        <v>91</v>
      </c>
      <c r="B102" s="34">
        <f>Timesheet!B107</f>
        <v>0</v>
      </c>
      <c r="C102" s="35">
        <f>Timesheet!C107</f>
        <v>0</v>
      </c>
      <c r="D102" s="36">
        <f t="shared" si="21"/>
        <v>0</v>
      </c>
      <c r="E102" s="84" t="str">
        <f t="shared" si="22"/>
        <v/>
      </c>
      <c r="F102" s="61"/>
      <c r="G102" s="37">
        <f t="shared" si="23"/>
        <v>0</v>
      </c>
    </row>
    <row r="103" spans="1:7" x14ac:dyDescent="0.25">
      <c r="A103" s="33">
        <f t="shared" si="16"/>
        <v>92</v>
      </c>
      <c r="B103" s="34">
        <f>Timesheet!B108</f>
        <v>0</v>
      </c>
      <c r="C103" s="35">
        <f>Timesheet!C108</f>
        <v>0</v>
      </c>
      <c r="D103" s="36">
        <f t="shared" si="21"/>
        <v>0</v>
      </c>
      <c r="E103" s="84" t="str">
        <f t="shared" si="22"/>
        <v/>
      </c>
      <c r="F103" s="61"/>
      <c r="G103" s="37">
        <f t="shared" si="23"/>
        <v>0</v>
      </c>
    </row>
    <row r="104" spans="1:7" x14ac:dyDescent="0.25">
      <c r="A104" s="33">
        <f t="shared" si="16"/>
        <v>93</v>
      </c>
      <c r="B104" s="34">
        <f>Timesheet!B109</f>
        <v>0</v>
      </c>
      <c r="C104" s="35">
        <f>Timesheet!C109</f>
        <v>0</v>
      </c>
      <c r="D104" s="36">
        <f t="shared" si="21"/>
        <v>0</v>
      </c>
      <c r="E104" s="84" t="str">
        <f t="shared" si="22"/>
        <v/>
      </c>
      <c r="F104" s="61"/>
      <c r="G104" s="37">
        <f t="shared" si="23"/>
        <v>0</v>
      </c>
    </row>
    <row r="105" spans="1:7" x14ac:dyDescent="0.25">
      <c r="A105" s="33">
        <f>A104+1</f>
        <v>94</v>
      </c>
      <c r="B105" s="34">
        <f>Timesheet!B110</f>
        <v>0</v>
      </c>
      <c r="C105" s="35">
        <f>Timesheet!C110</f>
        <v>0</v>
      </c>
      <c r="D105" s="36">
        <f t="shared" si="21"/>
        <v>0</v>
      </c>
      <c r="E105" s="84" t="str">
        <f t="shared" si="22"/>
        <v/>
      </c>
      <c r="F105" s="61"/>
      <c r="G105" s="37">
        <f t="shared" si="23"/>
        <v>0</v>
      </c>
    </row>
    <row r="106" spans="1:7" x14ac:dyDescent="0.25">
      <c r="A106" s="33">
        <f>A105+1</f>
        <v>95</v>
      </c>
      <c r="B106" s="34">
        <f>Timesheet!B111</f>
        <v>0</v>
      </c>
      <c r="C106" s="35">
        <f>Timesheet!C111</f>
        <v>0</v>
      </c>
      <c r="D106" s="36">
        <f t="shared" si="21"/>
        <v>0</v>
      </c>
      <c r="E106" s="84" t="str">
        <f t="shared" si="22"/>
        <v/>
      </c>
      <c r="F106" s="61"/>
      <c r="G106" s="37">
        <f t="shared" si="23"/>
        <v>0</v>
      </c>
    </row>
    <row r="107" spans="1:7" x14ac:dyDescent="0.25">
      <c r="A107" s="33">
        <f>A106+1</f>
        <v>96</v>
      </c>
      <c r="B107" s="34">
        <f>Timesheet!B112</f>
        <v>0</v>
      </c>
      <c r="C107" s="35">
        <f>Timesheet!C112</f>
        <v>0</v>
      </c>
      <c r="D107" s="36">
        <f t="shared" si="21"/>
        <v>0</v>
      </c>
      <c r="E107" s="84" t="str">
        <f t="shared" si="22"/>
        <v/>
      </c>
      <c r="F107" s="61"/>
      <c r="G107" s="37">
        <f t="shared" si="23"/>
        <v>0</v>
      </c>
    </row>
    <row r="108" spans="1:7" x14ac:dyDescent="0.25">
      <c r="A108" s="33">
        <f>A107+1</f>
        <v>97</v>
      </c>
      <c r="B108" s="34">
        <f>Timesheet!B113</f>
        <v>0</v>
      </c>
      <c r="C108" s="35">
        <f>Timesheet!C113</f>
        <v>0</v>
      </c>
      <c r="D108" s="36">
        <f t="shared" si="21"/>
        <v>0</v>
      </c>
      <c r="E108" s="84" t="str">
        <f t="shared" si="22"/>
        <v/>
      </c>
      <c r="F108" s="61"/>
      <c r="G108" s="37">
        <f t="shared" si="23"/>
        <v>0</v>
      </c>
    </row>
    <row r="109" spans="1:7" x14ac:dyDescent="0.25">
      <c r="A109" s="33">
        <f t="shared" ref="A109:A156" si="24">A108+1</f>
        <v>98</v>
      </c>
      <c r="B109" s="34">
        <f>Timesheet!B114</f>
        <v>0</v>
      </c>
      <c r="C109" s="35">
        <f>Timesheet!C114</f>
        <v>0</v>
      </c>
      <c r="D109" s="36">
        <f>IF(C110=0,0,C110-C109)</f>
        <v>0</v>
      </c>
      <c r="E109" s="84" t="str">
        <f t="shared" si="22"/>
        <v/>
      </c>
      <c r="F109" s="61"/>
      <c r="G109" s="37">
        <f t="shared" si="23"/>
        <v>0</v>
      </c>
    </row>
    <row r="110" spans="1:7" x14ac:dyDescent="0.25">
      <c r="A110" s="33">
        <f t="shared" si="24"/>
        <v>99</v>
      </c>
      <c r="B110" s="34">
        <f>Timesheet!B115</f>
        <v>0</v>
      </c>
      <c r="C110" s="35">
        <f>Timesheet!C115</f>
        <v>0</v>
      </c>
      <c r="D110" s="36">
        <f>IF(C111=0,0,C111-C110)</f>
        <v>0</v>
      </c>
      <c r="E110" s="84" t="str">
        <f t="shared" si="22"/>
        <v/>
      </c>
      <c r="F110" s="61"/>
      <c r="G110" s="37">
        <f t="shared" si="23"/>
        <v>0</v>
      </c>
    </row>
    <row r="111" spans="1:7" x14ac:dyDescent="0.25">
      <c r="A111" s="33">
        <f t="shared" si="24"/>
        <v>100</v>
      </c>
      <c r="B111" s="34">
        <f>Timesheet!B116</f>
        <v>0</v>
      </c>
      <c r="C111" s="35">
        <f>Timesheet!C116</f>
        <v>0</v>
      </c>
      <c r="D111" s="36">
        <f>IF(C159=0,0,C159-C111)</f>
        <v>0</v>
      </c>
      <c r="E111" s="84" t="str">
        <f t="shared" si="22"/>
        <v/>
      </c>
      <c r="F111" s="61"/>
      <c r="G111" s="37">
        <f t="shared" si="23"/>
        <v>0</v>
      </c>
    </row>
    <row r="112" spans="1:7" x14ac:dyDescent="0.25">
      <c r="A112" s="33">
        <f t="shared" si="24"/>
        <v>101</v>
      </c>
      <c r="B112" s="34">
        <f>Timesheet!B117</f>
        <v>0</v>
      </c>
      <c r="C112" s="35">
        <f>Timesheet!C117</f>
        <v>0</v>
      </c>
      <c r="D112" s="36">
        <f>IF(C160=0,0,C160-C112)</f>
        <v>0</v>
      </c>
      <c r="E112" s="84" t="str">
        <f t="shared" si="22"/>
        <v/>
      </c>
      <c r="F112" s="61"/>
      <c r="G112" s="37">
        <f t="shared" si="23"/>
        <v>0</v>
      </c>
    </row>
    <row r="113" spans="1:7" x14ac:dyDescent="0.25">
      <c r="A113" s="33">
        <f t="shared" si="24"/>
        <v>102</v>
      </c>
      <c r="B113" s="34">
        <f>Timesheet!B118</f>
        <v>0</v>
      </c>
      <c r="C113" s="35">
        <f>Timesheet!C118</f>
        <v>0</v>
      </c>
      <c r="D113" s="36">
        <f>IF(C161=0,0,C161-C113)</f>
        <v>0</v>
      </c>
      <c r="E113" s="84" t="str">
        <f t="shared" si="22"/>
        <v/>
      </c>
      <c r="F113" s="61"/>
      <c r="G113" s="37">
        <f t="shared" si="23"/>
        <v>0</v>
      </c>
    </row>
    <row r="114" spans="1:7" x14ac:dyDescent="0.25">
      <c r="A114" s="33">
        <f t="shared" si="24"/>
        <v>103</v>
      </c>
      <c r="B114" s="34">
        <f>Timesheet!B119</f>
        <v>0</v>
      </c>
      <c r="C114" s="35">
        <f>Timesheet!C119</f>
        <v>0</v>
      </c>
      <c r="D114" s="36">
        <f t="shared" ref="D114:D158" si="25">IF(C175=0,0,C175-C114)</f>
        <v>0</v>
      </c>
      <c r="E114" s="84" t="str">
        <f t="shared" si="22"/>
        <v/>
      </c>
      <c r="F114" s="61"/>
      <c r="G114" s="37">
        <f t="shared" si="23"/>
        <v>0</v>
      </c>
    </row>
    <row r="115" spans="1:7" x14ac:dyDescent="0.25">
      <c r="A115" s="33">
        <f t="shared" si="24"/>
        <v>104</v>
      </c>
      <c r="B115" s="34">
        <f>Timesheet!B120</f>
        <v>0</v>
      </c>
      <c r="C115" s="35">
        <f>Timesheet!C120</f>
        <v>0</v>
      </c>
      <c r="D115" s="36">
        <f t="shared" si="25"/>
        <v>0</v>
      </c>
      <c r="E115" s="84" t="str">
        <f t="shared" si="22"/>
        <v/>
      </c>
      <c r="F115" s="61"/>
      <c r="G115" s="37">
        <f t="shared" si="23"/>
        <v>0</v>
      </c>
    </row>
    <row r="116" spans="1:7" x14ac:dyDescent="0.25">
      <c r="A116" s="33">
        <f t="shared" si="24"/>
        <v>105</v>
      </c>
      <c r="B116" s="34">
        <f>Timesheet!B121</f>
        <v>0</v>
      </c>
      <c r="C116" s="35">
        <f>Timesheet!C121</f>
        <v>0</v>
      </c>
      <c r="D116" s="36">
        <f t="shared" si="25"/>
        <v>0</v>
      </c>
      <c r="E116" s="84" t="str">
        <f t="shared" si="22"/>
        <v/>
      </c>
      <c r="F116" s="61"/>
      <c r="G116" s="37">
        <f t="shared" si="23"/>
        <v>0</v>
      </c>
    </row>
    <row r="117" spans="1:7" x14ac:dyDescent="0.25">
      <c r="A117" s="33">
        <f t="shared" si="24"/>
        <v>106</v>
      </c>
      <c r="B117" s="34">
        <f>Timesheet!B122</f>
        <v>0</v>
      </c>
      <c r="C117" s="35">
        <f>Timesheet!C122</f>
        <v>0</v>
      </c>
      <c r="D117" s="36">
        <f t="shared" si="25"/>
        <v>0</v>
      </c>
      <c r="E117" s="84" t="str">
        <f t="shared" si="22"/>
        <v/>
      </c>
      <c r="F117" s="61"/>
      <c r="G117" s="37">
        <f t="shared" si="23"/>
        <v>0</v>
      </c>
    </row>
    <row r="118" spans="1:7" x14ac:dyDescent="0.25">
      <c r="A118" s="33">
        <f t="shared" si="24"/>
        <v>107</v>
      </c>
      <c r="B118" s="34">
        <f>Timesheet!B123</f>
        <v>0</v>
      </c>
      <c r="C118" s="35">
        <f>Timesheet!C123</f>
        <v>0</v>
      </c>
      <c r="D118" s="36">
        <f t="shared" si="25"/>
        <v>0</v>
      </c>
      <c r="E118" s="84" t="str">
        <f t="shared" si="22"/>
        <v/>
      </c>
      <c r="F118" s="61"/>
      <c r="G118" s="37">
        <f t="shared" si="23"/>
        <v>0</v>
      </c>
    </row>
    <row r="119" spans="1:7" x14ac:dyDescent="0.25">
      <c r="A119" s="33">
        <f t="shared" si="24"/>
        <v>108</v>
      </c>
      <c r="B119" s="34">
        <f>Timesheet!B124</f>
        <v>0</v>
      </c>
      <c r="C119" s="35">
        <f>Timesheet!C124</f>
        <v>0</v>
      </c>
      <c r="D119" s="36">
        <f t="shared" si="25"/>
        <v>0</v>
      </c>
      <c r="E119" s="84" t="str">
        <f t="shared" si="22"/>
        <v/>
      </c>
      <c r="F119" s="61"/>
      <c r="G119" s="37">
        <f t="shared" si="23"/>
        <v>0</v>
      </c>
    </row>
    <row r="120" spans="1:7" x14ac:dyDescent="0.25">
      <c r="A120" s="33">
        <f t="shared" si="24"/>
        <v>109</v>
      </c>
      <c r="B120" s="34">
        <f>Timesheet!B125</f>
        <v>0</v>
      </c>
      <c r="C120" s="35">
        <f>Timesheet!C125</f>
        <v>0</v>
      </c>
      <c r="D120" s="36">
        <f t="shared" si="25"/>
        <v>0</v>
      </c>
      <c r="E120" s="84" t="str">
        <f t="shared" si="22"/>
        <v/>
      </c>
      <c r="F120" s="61"/>
      <c r="G120" s="37">
        <f t="shared" si="23"/>
        <v>0</v>
      </c>
    </row>
    <row r="121" spans="1:7" x14ac:dyDescent="0.25">
      <c r="A121" s="33">
        <f t="shared" si="24"/>
        <v>110</v>
      </c>
      <c r="B121" s="34">
        <f>Timesheet!B126</f>
        <v>0</v>
      </c>
      <c r="C121" s="35">
        <f>Timesheet!C126</f>
        <v>0</v>
      </c>
      <c r="D121" s="36">
        <f t="shared" si="25"/>
        <v>0</v>
      </c>
      <c r="E121" s="84" t="str">
        <f t="shared" si="22"/>
        <v/>
      </c>
      <c r="F121" s="61"/>
      <c r="G121" s="37">
        <f t="shared" si="23"/>
        <v>0</v>
      </c>
    </row>
    <row r="122" spans="1:7" x14ac:dyDescent="0.25">
      <c r="A122" s="33">
        <f t="shared" si="24"/>
        <v>111</v>
      </c>
      <c r="B122" s="34">
        <f>Timesheet!B127</f>
        <v>0</v>
      </c>
      <c r="C122" s="35">
        <f>Timesheet!C127</f>
        <v>0</v>
      </c>
      <c r="D122" s="36">
        <f t="shared" si="25"/>
        <v>0</v>
      </c>
      <c r="E122" s="84" t="str">
        <f t="shared" si="22"/>
        <v/>
      </c>
      <c r="F122" s="61"/>
      <c r="G122" s="37">
        <f t="shared" si="23"/>
        <v>0</v>
      </c>
    </row>
    <row r="123" spans="1:7" x14ac:dyDescent="0.25">
      <c r="A123" s="33">
        <f t="shared" si="24"/>
        <v>112</v>
      </c>
      <c r="B123" s="34">
        <f>Timesheet!B128</f>
        <v>0</v>
      </c>
      <c r="C123" s="35">
        <f>Timesheet!C128</f>
        <v>0</v>
      </c>
      <c r="D123" s="36">
        <f t="shared" si="25"/>
        <v>0</v>
      </c>
      <c r="E123" s="84" t="str">
        <f t="shared" si="22"/>
        <v/>
      </c>
      <c r="F123" s="61"/>
      <c r="G123" s="37">
        <f t="shared" si="23"/>
        <v>0</v>
      </c>
    </row>
    <row r="124" spans="1:7" x14ac:dyDescent="0.25">
      <c r="A124" s="33">
        <f t="shared" si="24"/>
        <v>113</v>
      </c>
      <c r="B124" s="34">
        <f>Timesheet!B129</f>
        <v>0</v>
      </c>
      <c r="C124" s="35">
        <f>Timesheet!C129</f>
        <v>0</v>
      </c>
      <c r="D124" s="36">
        <f t="shared" si="25"/>
        <v>0</v>
      </c>
      <c r="E124" s="84" t="str">
        <f t="shared" si="22"/>
        <v/>
      </c>
      <c r="F124" s="61"/>
      <c r="G124" s="37">
        <f t="shared" si="23"/>
        <v>0</v>
      </c>
    </row>
    <row r="125" spans="1:7" x14ac:dyDescent="0.25">
      <c r="A125" s="33">
        <f t="shared" si="24"/>
        <v>114</v>
      </c>
      <c r="B125" s="34">
        <f>Timesheet!B130</f>
        <v>0</v>
      </c>
      <c r="C125" s="35">
        <f>Timesheet!C130</f>
        <v>0</v>
      </c>
      <c r="D125" s="36">
        <f t="shared" si="25"/>
        <v>0</v>
      </c>
      <c r="E125" s="84" t="str">
        <f t="shared" si="22"/>
        <v/>
      </c>
      <c r="F125" s="61"/>
      <c r="G125" s="37">
        <f t="shared" si="23"/>
        <v>0</v>
      </c>
    </row>
    <row r="126" spans="1:7" x14ac:dyDescent="0.25">
      <c r="A126" s="33">
        <f t="shared" si="24"/>
        <v>115</v>
      </c>
      <c r="B126" s="34">
        <f>Timesheet!B131</f>
        <v>0</v>
      </c>
      <c r="C126" s="35">
        <f>Timesheet!C131</f>
        <v>0</v>
      </c>
      <c r="D126" s="36">
        <f t="shared" si="25"/>
        <v>0</v>
      </c>
      <c r="E126" s="84" t="str">
        <f t="shared" si="22"/>
        <v/>
      </c>
      <c r="F126" s="61"/>
      <c r="G126" s="37">
        <f t="shared" si="23"/>
        <v>0</v>
      </c>
    </row>
    <row r="127" spans="1:7" x14ac:dyDescent="0.25">
      <c r="A127" s="33">
        <f t="shared" si="24"/>
        <v>116</v>
      </c>
      <c r="B127" s="34">
        <f>Timesheet!B132</f>
        <v>0</v>
      </c>
      <c r="C127" s="35">
        <f>Timesheet!C132</f>
        <v>0</v>
      </c>
      <c r="D127" s="36">
        <f t="shared" si="25"/>
        <v>0</v>
      </c>
      <c r="E127" s="84" t="str">
        <f t="shared" si="22"/>
        <v/>
      </c>
      <c r="F127" s="61"/>
      <c r="G127" s="37">
        <f t="shared" si="23"/>
        <v>0</v>
      </c>
    </row>
    <row r="128" spans="1:7" x14ac:dyDescent="0.25">
      <c r="A128" s="33">
        <f t="shared" si="24"/>
        <v>117</v>
      </c>
      <c r="B128" s="34">
        <f>Timesheet!B134</f>
        <v>0</v>
      </c>
      <c r="C128" s="35">
        <f>Timesheet!C134</f>
        <v>0</v>
      </c>
      <c r="D128" s="36">
        <f t="shared" si="25"/>
        <v>0</v>
      </c>
      <c r="E128" s="84" t="str">
        <f t="shared" si="22"/>
        <v/>
      </c>
      <c r="F128" s="61"/>
      <c r="G128" s="37">
        <f t="shared" si="23"/>
        <v>0</v>
      </c>
    </row>
    <row r="129" spans="1:7" x14ac:dyDescent="0.25">
      <c r="A129" s="33">
        <f t="shared" si="24"/>
        <v>118</v>
      </c>
      <c r="B129" s="34">
        <f>Timesheet!B135</f>
        <v>0</v>
      </c>
      <c r="C129" s="35">
        <f>Timesheet!C135</f>
        <v>0</v>
      </c>
      <c r="D129" s="36">
        <f t="shared" si="25"/>
        <v>0</v>
      </c>
      <c r="E129" s="84" t="str">
        <f t="shared" si="22"/>
        <v/>
      </c>
      <c r="F129" s="61"/>
      <c r="G129" s="37">
        <f t="shared" si="23"/>
        <v>0</v>
      </c>
    </row>
    <row r="130" spans="1:7" x14ac:dyDescent="0.25">
      <c r="A130" s="33">
        <f t="shared" si="24"/>
        <v>119</v>
      </c>
      <c r="B130" s="34">
        <f>Timesheet!B136</f>
        <v>0</v>
      </c>
      <c r="C130" s="35">
        <f>Timesheet!C136</f>
        <v>0</v>
      </c>
      <c r="D130" s="36">
        <f t="shared" si="25"/>
        <v>0</v>
      </c>
      <c r="E130" s="84" t="str">
        <f t="shared" si="22"/>
        <v/>
      </c>
      <c r="F130" s="61"/>
      <c r="G130" s="37">
        <f t="shared" si="23"/>
        <v>0</v>
      </c>
    </row>
    <row r="131" spans="1:7" x14ac:dyDescent="0.25">
      <c r="A131" s="33">
        <f t="shared" si="24"/>
        <v>120</v>
      </c>
      <c r="B131" s="34">
        <f>Timesheet!B137</f>
        <v>0</v>
      </c>
      <c r="C131" s="35">
        <f>Timesheet!C137</f>
        <v>0</v>
      </c>
      <c r="D131" s="36">
        <f t="shared" si="25"/>
        <v>0</v>
      </c>
      <c r="E131" s="84" t="str">
        <f t="shared" si="22"/>
        <v/>
      </c>
      <c r="F131" s="61"/>
      <c r="G131" s="37">
        <f t="shared" si="23"/>
        <v>0</v>
      </c>
    </row>
    <row r="132" spans="1:7" x14ac:dyDescent="0.25">
      <c r="A132" s="33">
        <f t="shared" si="24"/>
        <v>121</v>
      </c>
      <c r="B132" s="34">
        <f>Timesheet!B138</f>
        <v>0</v>
      </c>
      <c r="C132" s="35">
        <f>Timesheet!C138</f>
        <v>0</v>
      </c>
      <c r="D132" s="36">
        <f t="shared" si="25"/>
        <v>0</v>
      </c>
      <c r="E132" s="84" t="str">
        <f t="shared" si="22"/>
        <v/>
      </c>
      <c r="F132" s="61"/>
      <c r="G132" s="37">
        <f t="shared" si="23"/>
        <v>0</v>
      </c>
    </row>
    <row r="133" spans="1:7" x14ac:dyDescent="0.25">
      <c r="A133" s="33">
        <f t="shared" si="24"/>
        <v>122</v>
      </c>
      <c r="B133" s="34">
        <f>Timesheet!B139</f>
        <v>0</v>
      </c>
      <c r="C133" s="35">
        <f>Timesheet!C139</f>
        <v>0</v>
      </c>
      <c r="D133" s="36">
        <f t="shared" si="25"/>
        <v>0</v>
      </c>
      <c r="E133" s="84" t="str">
        <f t="shared" si="22"/>
        <v/>
      </c>
      <c r="F133" s="61"/>
      <c r="G133" s="37">
        <f t="shared" si="23"/>
        <v>0</v>
      </c>
    </row>
    <row r="134" spans="1:7" x14ac:dyDescent="0.25">
      <c r="A134" s="33">
        <f t="shared" si="24"/>
        <v>123</v>
      </c>
      <c r="B134" s="34">
        <f>Timesheet!B140</f>
        <v>0</v>
      </c>
      <c r="C134" s="35">
        <f>Timesheet!C140</f>
        <v>0</v>
      </c>
      <c r="D134" s="36">
        <f t="shared" si="25"/>
        <v>0</v>
      </c>
      <c r="E134" s="84" t="str">
        <f t="shared" si="22"/>
        <v/>
      </c>
      <c r="F134" s="61"/>
      <c r="G134" s="37">
        <f t="shared" si="23"/>
        <v>0</v>
      </c>
    </row>
    <row r="135" spans="1:7" x14ac:dyDescent="0.25">
      <c r="A135" s="33">
        <f t="shared" si="24"/>
        <v>124</v>
      </c>
      <c r="B135" s="34">
        <f>Timesheet!B141</f>
        <v>0</v>
      </c>
      <c r="C135" s="35">
        <f>Timesheet!C141</f>
        <v>0</v>
      </c>
      <c r="D135" s="36">
        <f t="shared" si="25"/>
        <v>0</v>
      </c>
      <c r="E135" s="84" t="str">
        <f t="shared" si="22"/>
        <v/>
      </c>
      <c r="F135" s="61"/>
      <c r="G135" s="37">
        <f t="shared" si="23"/>
        <v>0</v>
      </c>
    </row>
    <row r="136" spans="1:7" x14ac:dyDescent="0.25">
      <c r="A136" s="33">
        <f t="shared" si="24"/>
        <v>125</v>
      </c>
      <c r="B136" s="34">
        <f>Timesheet!B142</f>
        <v>0</v>
      </c>
      <c r="C136" s="35">
        <f>Timesheet!C142</f>
        <v>0</v>
      </c>
      <c r="D136" s="36">
        <f t="shared" si="25"/>
        <v>0</v>
      </c>
      <c r="E136" s="84" t="str">
        <f t="shared" si="22"/>
        <v/>
      </c>
      <c r="F136" s="61"/>
      <c r="G136" s="37">
        <f t="shared" si="23"/>
        <v>0</v>
      </c>
    </row>
    <row r="137" spans="1:7" x14ac:dyDescent="0.25">
      <c r="A137" s="33">
        <f t="shared" si="24"/>
        <v>126</v>
      </c>
      <c r="B137" s="34">
        <f>Timesheet!B143</f>
        <v>0</v>
      </c>
      <c r="C137" s="35">
        <f>Timesheet!C143</f>
        <v>0</v>
      </c>
      <c r="D137" s="36">
        <f t="shared" si="25"/>
        <v>0</v>
      </c>
      <c r="E137" s="84" t="str">
        <f t="shared" si="22"/>
        <v/>
      </c>
      <c r="F137" s="61"/>
      <c r="G137" s="37">
        <f t="shared" si="23"/>
        <v>0</v>
      </c>
    </row>
    <row r="138" spans="1:7" x14ac:dyDescent="0.25">
      <c r="A138" s="33">
        <f t="shared" si="24"/>
        <v>127</v>
      </c>
      <c r="B138" s="34">
        <f>Timesheet!B144</f>
        <v>0</v>
      </c>
      <c r="C138" s="35">
        <f>Timesheet!C144</f>
        <v>0</v>
      </c>
      <c r="D138" s="36">
        <f t="shared" si="25"/>
        <v>0</v>
      </c>
      <c r="E138" s="84" t="str">
        <f t="shared" si="22"/>
        <v/>
      </c>
      <c r="F138" s="61"/>
      <c r="G138" s="37">
        <f t="shared" si="23"/>
        <v>0</v>
      </c>
    </row>
    <row r="139" spans="1:7" x14ac:dyDescent="0.25">
      <c r="A139" s="33">
        <f t="shared" si="24"/>
        <v>128</v>
      </c>
      <c r="B139" s="34">
        <f>Timesheet!B145</f>
        <v>0</v>
      </c>
      <c r="C139" s="35">
        <f>Timesheet!C145</f>
        <v>0</v>
      </c>
      <c r="D139" s="36">
        <f t="shared" si="25"/>
        <v>0</v>
      </c>
      <c r="E139" s="84" t="str">
        <f t="shared" si="22"/>
        <v/>
      </c>
      <c r="F139" s="61"/>
      <c r="G139" s="37">
        <f t="shared" si="23"/>
        <v>0</v>
      </c>
    </row>
    <row r="140" spans="1:7" x14ac:dyDescent="0.25">
      <c r="A140" s="33">
        <f t="shared" si="24"/>
        <v>129</v>
      </c>
      <c r="B140" s="34">
        <f>Timesheet!B146</f>
        <v>0</v>
      </c>
      <c r="C140" s="35">
        <f>Timesheet!C146</f>
        <v>0</v>
      </c>
      <c r="D140" s="36">
        <f t="shared" si="25"/>
        <v>0</v>
      </c>
      <c r="E140" s="84" t="str">
        <f t="shared" si="22"/>
        <v/>
      </c>
      <c r="F140" s="61"/>
      <c r="G140" s="37">
        <f t="shared" si="23"/>
        <v>0</v>
      </c>
    </row>
    <row r="141" spans="1:7" x14ac:dyDescent="0.25">
      <c r="A141" s="33">
        <f t="shared" si="24"/>
        <v>130</v>
      </c>
      <c r="B141" s="34">
        <f>Timesheet!B147</f>
        <v>0</v>
      </c>
      <c r="C141" s="35">
        <f>Timesheet!C147</f>
        <v>0</v>
      </c>
      <c r="D141" s="36">
        <f t="shared" si="25"/>
        <v>0</v>
      </c>
      <c r="E141" s="84" t="str">
        <f t="shared" ref="E141:E181" si="26">IF(LEFT(F141,1)="1","N",IF(LEFT(F141,1)="2","V",""))</f>
        <v/>
      </c>
      <c r="F141" s="61"/>
      <c r="G141" s="37">
        <f t="shared" ref="G141:G181" si="27">D141</f>
        <v>0</v>
      </c>
    </row>
    <row r="142" spans="1:7" x14ac:dyDescent="0.25">
      <c r="A142" s="33">
        <f t="shared" si="24"/>
        <v>131</v>
      </c>
      <c r="B142" s="34">
        <f>Timesheet!B148</f>
        <v>0</v>
      </c>
      <c r="C142" s="35">
        <f>Timesheet!C148</f>
        <v>0</v>
      </c>
      <c r="D142" s="36">
        <f t="shared" si="25"/>
        <v>0</v>
      </c>
      <c r="E142" s="84" t="str">
        <f t="shared" si="26"/>
        <v/>
      </c>
      <c r="F142" s="61"/>
      <c r="G142" s="37">
        <f t="shared" si="27"/>
        <v>0</v>
      </c>
    </row>
    <row r="143" spans="1:7" x14ac:dyDescent="0.25">
      <c r="A143" s="33">
        <f t="shared" si="24"/>
        <v>132</v>
      </c>
      <c r="B143" s="34">
        <f>Timesheet!B149</f>
        <v>0</v>
      </c>
      <c r="C143" s="35">
        <f>Timesheet!C149</f>
        <v>0</v>
      </c>
      <c r="D143" s="36">
        <f t="shared" si="25"/>
        <v>0</v>
      </c>
      <c r="E143" s="84" t="str">
        <f t="shared" si="26"/>
        <v/>
      </c>
      <c r="F143" s="61"/>
      <c r="G143" s="37">
        <f t="shared" si="27"/>
        <v>0</v>
      </c>
    </row>
    <row r="144" spans="1:7" x14ac:dyDescent="0.25">
      <c r="A144" s="33">
        <f t="shared" si="24"/>
        <v>133</v>
      </c>
      <c r="B144" s="34">
        <f>Timesheet!B150</f>
        <v>0</v>
      </c>
      <c r="C144" s="35">
        <f>Timesheet!C150</f>
        <v>0</v>
      </c>
      <c r="D144" s="36">
        <f t="shared" si="25"/>
        <v>0</v>
      </c>
      <c r="E144" s="84" t="str">
        <f t="shared" si="26"/>
        <v/>
      </c>
      <c r="F144" s="61"/>
      <c r="G144" s="37">
        <f t="shared" si="27"/>
        <v>0</v>
      </c>
    </row>
    <row r="145" spans="1:7" x14ac:dyDescent="0.25">
      <c r="A145" s="33">
        <f t="shared" si="24"/>
        <v>134</v>
      </c>
      <c r="B145" s="34">
        <f>Timesheet!B151</f>
        <v>0</v>
      </c>
      <c r="C145" s="35">
        <f>Timesheet!C151</f>
        <v>0</v>
      </c>
      <c r="D145" s="36">
        <f t="shared" si="25"/>
        <v>0</v>
      </c>
      <c r="E145" s="84" t="str">
        <f t="shared" si="26"/>
        <v/>
      </c>
      <c r="F145" s="61"/>
      <c r="G145" s="37">
        <f t="shared" si="27"/>
        <v>0</v>
      </c>
    </row>
    <row r="146" spans="1:7" x14ac:dyDescent="0.25">
      <c r="A146" s="33">
        <f t="shared" si="24"/>
        <v>135</v>
      </c>
      <c r="B146" s="34">
        <f>Timesheet!B152</f>
        <v>0</v>
      </c>
      <c r="C146" s="35">
        <f>Timesheet!C152</f>
        <v>0</v>
      </c>
      <c r="D146" s="36">
        <f t="shared" si="25"/>
        <v>0</v>
      </c>
      <c r="E146" s="84" t="str">
        <f t="shared" si="26"/>
        <v/>
      </c>
      <c r="F146" s="61"/>
      <c r="G146" s="37">
        <f t="shared" si="27"/>
        <v>0</v>
      </c>
    </row>
    <row r="147" spans="1:7" x14ac:dyDescent="0.25">
      <c r="A147" s="33">
        <f t="shared" si="24"/>
        <v>136</v>
      </c>
      <c r="B147" s="34">
        <f>Timesheet!B153</f>
        <v>0</v>
      </c>
      <c r="C147" s="35">
        <f>Timesheet!C153</f>
        <v>0</v>
      </c>
      <c r="D147" s="36">
        <f t="shared" si="25"/>
        <v>0</v>
      </c>
      <c r="E147" s="84" t="str">
        <f t="shared" si="26"/>
        <v/>
      </c>
      <c r="F147" s="61"/>
      <c r="G147" s="37">
        <f t="shared" si="27"/>
        <v>0</v>
      </c>
    </row>
    <row r="148" spans="1:7" x14ac:dyDescent="0.25">
      <c r="A148" s="33">
        <f t="shared" si="24"/>
        <v>137</v>
      </c>
      <c r="B148" s="34">
        <f>Timesheet!B154</f>
        <v>0</v>
      </c>
      <c r="C148" s="35">
        <f>Timesheet!C154</f>
        <v>0</v>
      </c>
      <c r="D148" s="36">
        <f t="shared" si="25"/>
        <v>0</v>
      </c>
      <c r="E148" s="84" t="str">
        <f t="shared" si="26"/>
        <v/>
      </c>
      <c r="F148" s="61"/>
      <c r="G148" s="37">
        <f t="shared" si="27"/>
        <v>0</v>
      </c>
    </row>
    <row r="149" spans="1:7" x14ac:dyDescent="0.25">
      <c r="A149" s="33">
        <f t="shared" si="24"/>
        <v>138</v>
      </c>
      <c r="B149" s="34">
        <f>Timesheet!B155</f>
        <v>0</v>
      </c>
      <c r="C149" s="35">
        <f>Timesheet!C155</f>
        <v>0</v>
      </c>
      <c r="D149" s="36">
        <f t="shared" si="25"/>
        <v>0</v>
      </c>
      <c r="E149" s="84" t="str">
        <f t="shared" si="26"/>
        <v/>
      </c>
      <c r="F149" s="61"/>
      <c r="G149" s="37">
        <f t="shared" si="27"/>
        <v>0</v>
      </c>
    </row>
    <row r="150" spans="1:7" x14ac:dyDescent="0.25">
      <c r="A150" s="33">
        <f t="shared" si="24"/>
        <v>139</v>
      </c>
      <c r="B150" s="34">
        <f>Timesheet!B156</f>
        <v>0</v>
      </c>
      <c r="C150" s="35">
        <f>Timesheet!C156</f>
        <v>0</v>
      </c>
      <c r="D150" s="36">
        <f t="shared" si="25"/>
        <v>0</v>
      </c>
      <c r="E150" s="84" t="str">
        <f t="shared" si="26"/>
        <v/>
      </c>
      <c r="F150" s="61"/>
      <c r="G150" s="37">
        <f t="shared" si="27"/>
        <v>0</v>
      </c>
    </row>
    <row r="151" spans="1:7" x14ac:dyDescent="0.25">
      <c r="A151" s="33">
        <f t="shared" si="24"/>
        <v>140</v>
      </c>
      <c r="B151" s="34">
        <f>Timesheet!B157</f>
        <v>0</v>
      </c>
      <c r="C151" s="35">
        <f>Timesheet!C157</f>
        <v>0</v>
      </c>
      <c r="D151" s="36">
        <f t="shared" si="25"/>
        <v>0</v>
      </c>
      <c r="E151" s="84" t="str">
        <f t="shared" si="26"/>
        <v/>
      </c>
      <c r="F151" s="61"/>
      <c r="G151" s="37">
        <f t="shared" si="27"/>
        <v>0</v>
      </c>
    </row>
    <row r="152" spans="1:7" x14ac:dyDescent="0.25">
      <c r="A152" s="33">
        <f t="shared" si="24"/>
        <v>141</v>
      </c>
      <c r="B152" s="34">
        <f>Timesheet!B158</f>
        <v>0</v>
      </c>
      <c r="C152" s="35">
        <f>Timesheet!C158</f>
        <v>0</v>
      </c>
      <c r="D152" s="36">
        <f t="shared" si="25"/>
        <v>0</v>
      </c>
      <c r="E152" s="84" t="str">
        <f t="shared" si="26"/>
        <v/>
      </c>
      <c r="F152" s="61"/>
      <c r="G152" s="37">
        <f t="shared" si="27"/>
        <v>0</v>
      </c>
    </row>
    <row r="153" spans="1:7" x14ac:dyDescent="0.25">
      <c r="A153" s="33">
        <f t="shared" si="24"/>
        <v>142</v>
      </c>
      <c r="B153" s="34">
        <f>Timesheet!B159</f>
        <v>0</v>
      </c>
      <c r="C153" s="35">
        <f>Timesheet!C159</f>
        <v>0</v>
      </c>
      <c r="D153" s="36">
        <f t="shared" si="25"/>
        <v>0</v>
      </c>
      <c r="E153" s="84" t="str">
        <f t="shared" si="26"/>
        <v/>
      </c>
      <c r="F153" s="61"/>
      <c r="G153" s="37">
        <f t="shared" si="27"/>
        <v>0</v>
      </c>
    </row>
    <row r="154" spans="1:7" x14ac:dyDescent="0.25">
      <c r="A154" s="33">
        <f t="shared" si="24"/>
        <v>143</v>
      </c>
      <c r="B154" s="34">
        <f>Timesheet!B160</f>
        <v>0</v>
      </c>
      <c r="C154" s="35">
        <f>Timesheet!C160</f>
        <v>0</v>
      </c>
      <c r="D154" s="36">
        <f t="shared" si="25"/>
        <v>0</v>
      </c>
      <c r="E154" s="84" t="str">
        <f t="shared" si="26"/>
        <v/>
      </c>
      <c r="F154" s="61"/>
      <c r="G154" s="37">
        <f t="shared" si="27"/>
        <v>0</v>
      </c>
    </row>
    <row r="155" spans="1:7" x14ac:dyDescent="0.25">
      <c r="A155" s="33">
        <f t="shared" si="24"/>
        <v>144</v>
      </c>
      <c r="B155" s="34">
        <f>Timesheet!B161</f>
        <v>0</v>
      </c>
      <c r="C155" s="35">
        <f>Timesheet!C161</f>
        <v>0</v>
      </c>
      <c r="D155" s="36">
        <f t="shared" si="25"/>
        <v>0</v>
      </c>
      <c r="E155" s="84" t="str">
        <f t="shared" si="26"/>
        <v/>
      </c>
      <c r="F155" s="61"/>
      <c r="G155" s="37">
        <f t="shared" si="27"/>
        <v>0</v>
      </c>
    </row>
    <row r="156" spans="1:7" x14ac:dyDescent="0.25">
      <c r="A156" s="33">
        <f t="shared" si="24"/>
        <v>145</v>
      </c>
      <c r="B156" s="34">
        <f>Timesheet!B162</f>
        <v>0</v>
      </c>
      <c r="C156" s="35">
        <f>Timesheet!C162</f>
        <v>0</v>
      </c>
      <c r="D156" s="36">
        <f t="shared" si="25"/>
        <v>0</v>
      </c>
      <c r="E156" s="84" t="str">
        <f t="shared" si="26"/>
        <v/>
      </c>
      <c r="F156" s="61"/>
      <c r="G156" s="37">
        <f t="shared" si="27"/>
        <v>0</v>
      </c>
    </row>
    <row r="157" spans="1:7" x14ac:dyDescent="0.25">
      <c r="A157" s="33">
        <f>A156+1</f>
        <v>146</v>
      </c>
      <c r="B157" s="34">
        <f>Timesheet!B163</f>
        <v>0</v>
      </c>
      <c r="C157" s="35">
        <f>Timesheet!C163</f>
        <v>0</v>
      </c>
      <c r="D157" s="36">
        <f t="shared" si="25"/>
        <v>0</v>
      </c>
      <c r="E157" s="84" t="str">
        <f t="shared" si="26"/>
        <v/>
      </c>
      <c r="F157" s="61"/>
      <c r="G157" s="37">
        <f t="shared" si="27"/>
        <v>0</v>
      </c>
    </row>
    <row r="158" spans="1:7" x14ac:dyDescent="0.25">
      <c r="A158" s="33">
        <f>A157+1</f>
        <v>147</v>
      </c>
      <c r="B158" s="34">
        <f>Timesheet!B164</f>
        <v>0</v>
      </c>
      <c r="C158" s="35">
        <f>Timesheet!C164</f>
        <v>0</v>
      </c>
      <c r="D158" s="36">
        <f t="shared" si="25"/>
        <v>0</v>
      </c>
      <c r="E158" s="84" t="str">
        <f t="shared" si="26"/>
        <v/>
      </c>
      <c r="F158" s="61"/>
      <c r="G158" s="37">
        <f t="shared" si="27"/>
        <v>0</v>
      </c>
    </row>
    <row r="159" spans="1:7" x14ac:dyDescent="0.25">
      <c r="A159" s="33">
        <f>A158+1</f>
        <v>148</v>
      </c>
      <c r="B159" s="34">
        <f>Timesheet!B165</f>
        <v>0</v>
      </c>
      <c r="C159" s="35">
        <f>Timesheet!C165</f>
        <v>0</v>
      </c>
      <c r="D159" s="36">
        <f>IF(C160=0,0,C160-C159)</f>
        <v>0</v>
      </c>
      <c r="E159" s="84" t="str">
        <f t="shared" si="26"/>
        <v/>
      </c>
      <c r="F159" s="61"/>
      <c r="G159" s="37">
        <f t="shared" si="27"/>
        <v>0</v>
      </c>
    </row>
    <row r="160" spans="1:7" x14ac:dyDescent="0.25">
      <c r="A160" s="33">
        <f>A159+1</f>
        <v>149</v>
      </c>
      <c r="B160" s="34">
        <f>Timesheet!B166</f>
        <v>0</v>
      </c>
      <c r="C160" s="35">
        <f>Timesheet!C166</f>
        <v>0</v>
      </c>
      <c r="D160" s="36">
        <f>IF(C161=0,0,C161-C160)</f>
        <v>0</v>
      </c>
      <c r="E160" s="84" t="str">
        <f t="shared" si="26"/>
        <v/>
      </c>
      <c r="F160" s="61"/>
      <c r="G160" s="37">
        <f t="shared" si="27"/>
        <v>0</v>
      </c>
    </row>
    <row r="161" spans="1:7" x14ac:dyDescent="0.25">
      <c r="A161" s="33">
        <f>A160+1</f>
        <v>150</v>
      </c>
      <c r="B161" s="34">
        <f>Timesheet!B167</f>
        <v>0</v>
      </c>
      <c r="C161" s="35">
        <f>Timesheet!C167</f>
        <v>0</v>
      </c>
      <c r="D161" s="36">
        <f>IF(C175=0,0,C175-C161)</f>
        <v>0</v>
      </c>
      <c r="E161" s="84" t="str">
        <f t="shared" si="26"/>
        <v/>
      </c>
      <c r="F161" s="61"/>
      <c r="G161" s="37">
        <f t="shared" si="27"/>
        <v>0</v>
      </c>
    </row>
    <row r="162" spans="1:7" x14ac:dyDescent="0.25">
      <c r="A162" s="33">
        <f t="shared" ref="A162:A181" si="28">A161+1</f>
        <v>151</v>
      </c>
      <c r="B162" s="34">
        <f>Timesheet!B168</f>
        <v>0</v>
      </c>
      <c r="C162" s="35">
        <f>Timesheet!C168</f>
        <v>0</v>
      </c>
      <c r="D162" s="36">
        <f t="shared" ref="D162:D174" si="29">IF(C176=0,0,C176-C162)</f>
        <v>0</v>
      </c>
      <c r="E162" s="84" t="str">
        <f t="shared" si="26"/>
        <v/>
      </c>
      <c r="F162" s="61"/>
      <c r="G162" s="37">
        <f t="shared" si="27"/>
        <v>0</v>
      </c>
    </row>
    <row r="163" spans="1:7" x14ac:dyDescent="0.25">
      <c r="A163" s="33">
        <f t="shared" si="28"/>
        <v>152</v>
      </c>
      <c r="B163" s="34">
        <f>Timesheet!B169</f>
        <v>0</v>
      </c>
      <c r="C163" s="35">
        <f>Timesheet!C169</f>
        <v>0</v>
      </c>
      <c r="D163" s="36">
        <f t="shared" si="29"/>
        <v>0</v>
      </c>
      <c r="E163" s="84" t="str">
        <f t="shared" si="26"/>
        <v/>
      </c>
      <c r="F163" s="61"/>
      <c r="G163" s="37">
        <f t="shared" si="27"/>
        <v>0</v>
      </c>
    </row>
    <row r="164" spans="1:7" x14ac:dyDescent="0.25">
      <c r="A164" s="33">
        <f t="shared" si="28"/>
        <v>153</v>
      </c>
      <c r="B164" s="34">
        <f>Timesheet!B170</f>
        <v>0</v>
      </c>
      <c r="C164" s="35">
        <f>Timesheet!C170</f>
        <v>0</v>
      </c>
      <c r="D164" s="36">
        <f t="shared" si="29"/>
        <v>0</v>
      </c>
      <c r="E164" s="84" t="str">
        <f t="shared" si="26"/>
        <v/>
      </c>
      <c r="F164" s="61"/>
      <c r="G164" s="37">
        <f t="shared" si="27"/>
        <v>0</v>
      </c>
    </row>
    <row r="165" spans="1:7" x14ac:dyDescent="0.25">
      <c r="A165" s="33">
        <f t="shared" si="28"/>
        <v>154</v>
      </c>
      <c r="B165" s="34">
        <f>Timesheet!B171</f>
        <v>0</v>
      </c>
      <c r="C165" s="35">
        <f>Timesheet!C171</f>
        <v>0</v>
      </c>
      <c r="D165" s="36">
        <f t="shared" si="29"/>
        <v>0</v>
      </c>
      <c r="E165" s="84" t="str">
        <f t="shared" si="26"/>
        <v/>
      </c>
      <c r="F165" s="61"/>
      <c r="G165" s="37">
        <f t="shared" si="27"/>
        <v>0</v>
      </c>
    </row>
    <row r="166" spans="1:7" x14ac:dyDescent="0.25">
      <c r="A166" s="33">
        <f t="shared" si="28"/>
        <v>155</v>
      </c>
      <c r="B166" s="34">
        <f>Timesheet!B172</f>
        <v>0</v>
      </c>
      <c r="C166" s="35">
        <f>Timesheet!C172</f>
        <v>0</v>
      </c>
      <c r="D166" s="36">
        <f t="shared" si="29"/>
        <v>0</v>
      </c>
      <c r="E166" s="84" t="str">
        <f t="shared" si="26"/>
        <v/>
      </c>
      <c r="F166" s="61"/>
      <c r="G166" s="37">
        <f t="shared" si="27"/>
        <v>0</v>
      </c>
    </row>
    <row r="167" spans="1:7" x14ac:dyDescent="0.25">
      <c r="A167" s="33">
        <f t="shared" si="28"/>
        <v>156</v>
      </c>
      <c r="B167" s="34">
        <f>Timesheet!B173</f>
        <v>0</v>
      </c>
      <c r="C167" s="35">
        <f>Timesheet!C173</f>
        <v>0</v>
      </c>
      <c r="D167" s="36">
        <f t="shared" si="29"/>
        <v>0</v>
      </c>
      <c r="E167" s="84" t="str">
        <f t="shared" si="26"/>
        <v/>
      </c>
      <c r="F167" s="61"/>
      <c r="G167" s="37">
        <f t="shared" si="27"/>
        <v>0</v>
      </c>
    </row>
    <row r="168" spans="1:7" x14ac:dyDescent="0.25">
      <c r="A168" s="33">
        <f t="shared" si="28"/>
        <v>157</v>
      </c>
      <c r="B168" s="34">
        <f>Timesheet!B174</f>
        <v>0</v>
      </c>
      <c r="C168" s="35">
        <f>Timesheet!C174</f>
        <v>0</v>
      </c>
      <c r="D168" s="36">
        <f t="shared" si="29"/>
        <v>0</v>
      </c>
      <c r="E168" s="84" t="str">
        <f t="shared" si="26"/>
        <v/>
      </c>
      <c r="F168" s="61"/>
      <c r="G168" s="37">
        <f t="shared" si="27"/>
        <v>0</v>
      </c>
    </row>
    <row r="169" spans="1:7" x14ac:dyDescent="0.25">
      <c r="A169" s="33">
        <f t="shared" si="28"/>
        <v>158</v>
      </c>
      <c r="B169" s="34">
        <f>Timesheet!B175</f>
        <v>0</v>
      </c>
      <c r="C169" s="35">
        <f>Timesheet!C175</f>
        <v>0</v>
      </c>
      <c r="D169" s="36">
        <f t="shared" si="29"/>
        <v>0</v>
      </c>
      <c r="E169" s="84" t="str">
        <f t="shared" si="26"/>
        <v/>
      </c>
      <c r="F169" s="61"/>
      <c r="G169" s="37">
        <f t="shared" si="27"/>
        <v>0</v>
      </c>
    </row>
    <row r="170" spans="1:7" x14ac:dyDescent="0.25">
      <c r="A170" s="33">
        <f t="shared" si="28"/>
        <v>159</v>
      </c>
      <c r="B170" s="34">
        <f>Timesheet!B176</f>
        <v>0</v>
      </c>
      <c r="C170" s="35">
        <f>Timesheet!C176</f>
        <v>0</v>
      </c>
      <c r="D170" s="36">
        <f t="shared" si="29"/>
        <v>0</v>
      </c>
      <c r="E170" s="84" t="str">
        <f t="shared" si="26"/>
        <v/>
      </c>
      <c r="F170" s="61"/>
      <c r="G170" s="37">
        <f t="shared" si="27"/>
        <v>0</v>
      </c>
    </row>
    <row r="171" spans="1:7" x14ac:dyDescent="0.25">
      <c r="A171" s="33">
        <f t="shared" si="28"/>
        <v>160</v>
      </c>
      <c r="B171" s="34">
        <f>Timesheet!B177</f>
        <v>0</v>
      </c>
      <c r="C171" s="35">
        <f>Timesheet!C177</f>
        <v>0</v>
      </c>
      <c r="D171" s="36">
        <f t="shared" si="29"/>
        <v>0</v>
      </c>
      <c r="E171" s="84" t="str">
        <f t="shared" si="26"/>
        <v/>
      </c>
      <c r="F171" s="61"/>
      <c r="G171" s="37">
        <f t="shared" si="27"/>
        <v>0</v>
      </c>
    </row>
    <row r="172" spans="1:7" x14ac:dyDescent="0.25">
      <c r="A172" s="33">
        <f t="shared" si="28"/>
        <v>161</v>
      </c>
      <c r="B172" s="34">
        <f>Timesheet!B178</f>
        <v>0</v>
      </c>
      <c r="C172" s="35">
        <f>Timesheet!C178</f>
        <v>0</v>
      </c>
      <c r="D172" s="36">
        <f t="shared" si="29"/>
        <v>0</v>
      </c>
      <c r="E172" s="84" t="str">
        <f t="shared" si="26"/>
        <v/>
      </c>
      <c r="F172" s="61"/>
      <c r="G172" s="37">
        <f t="shared" si="27"/>
        <v>0</v>
      </c>
    </row>
    <row r="173" spans="1:7" x14ac:dyDescent="0.25">
      <c r="A173" s="33">
        <f t="shared" si="28"/>
        <v>162</v>
      </c>
      <c r="B173" s="34">
        <f>Timesheet!B179</f>
        <v>0</v>
      </c>
      <c r="C173" s="35">
        <f>Timesheet!C179</f>
        <v>0</v>
      </c>
      <c r="D173" s="36">
        <f t="shared" si="29"/>
        <v>0</v>
      </c>
      <c r="E173" s="84" t="str">
        <f t="shared" si="26"/>
        <v/>
      </c>
      <c r="F173" s="61"/>
      <c r="G173" s="37">
        <f t="shared" si="27"/>
        <v>0</v>
      </c>
    </row>
    <row r="174" spans="1:7" x14ac:dyDescent="0.25">
      <c r="A174" s="33">
        <f t="shared" si="28"/>
        <v>163</v>
      </c>
      <c r="B174" s="34">
        <f>Timesheet!B180</f>
        <v>0</v>
      </c>
      <c r="C174" s="35">
        <f>Timesheet!C180</f>
        <v>0</v>
      </c>
      <c r="D174" s="36">
        <f t="shared" si="29"/>
        <v>0</v>
      </c>
      <c r="E174" s="84" t="str">
        <f t="shared" si="26"/>
        <v/>
      </c>
      <c r="F174" s="61"/>
      <c r="G174" s="37">
        <f t="shared" si="27"/>
        <v>0</v>
      </c>
    </row>
    <row r="175" spans="1:7" x14ac:dyDescent="0.25">
      <c r="A175" s="33">
        <f t="shared" si="28"/>
        <v>164</v>
      </c>
      <c r="B175" s="34">
        <f>Timesheet!B181</f>
        <v>0</v>
      </c>
      <c r="C175" s="35">
        <f>Timesheet!C181</f>
        <v>0</v>
      </c>
      <c r="D175" s="36">
        <f t="shared" ref="D175:D180" si="30">IF(C176=0,0,C176-C175)</f>
        <v>0</v>
      </c>
      <c r="E175" s="84" t="str">
        <f t="shared" si="26"/>
        <v/>
      </c>
      <c r="F175" s="61"/>
      <c r="G175" s="37">
        <f t="shared" si="27"/>
        <v>0</v>
      </c>
    </row>
    <row r="176" spans="1:7" x14ac:dyDescent="0.25">
      <c r="A176" s="33">
        <f t="shared" si="28"/>
        <v>165</v>
      </c>
      <c r="B176" s="34">
        <f>Timesheet!B182</f>
        <v>0</v>
      </c>
      <c r="C176" s="35">
        <f>Timesheet!C182</f>
        <v>0</v>
      </c>
      <c r="D176" s="36">
        <f t="shared" si="30"/>
        <v>0</v>
      </c>
      <c r="E176" s="84" t="str">
        <f t="shared" si="26"/>
        <v/>
      </c>
      <c r="F176" s="61"/>
      <c r="G176" s="37">
        <f t="shared" si="27"/>
        <v>0</v>
      </c>
    </row>
    <row r="177" spans="1:7" x14ac:dyDescent="0.25">
      <c r="A177" s="33">
        <f t="shared" si="28"/>
        <v>166</v>
      </c>
      <c r="B177" s="34">
        <f>Timesheet!B183</f>
        <v>0</v>
      </c>
      <c r="C177" s="35">
        <f>Timesheet!C183</f>
        <v>0</v>
      </c>
      <c r="D177" s="36">
        <f t="shared" si="30"/>
        <v>0</v>
      </c>
      <c r="E177" s="84" t="str">
        <f t="shared" si="26"/>
        <v/>
      </c>
      <c r="F177" s="61"/>
      <c r="G177" s="37">
        <f t="shared" si="27"/>
        <v>0</v>
      </c>
    </row>
    <row r="178" spans="1:7" x14ac:dyDescent="0.25">
      <c r="A178" s="33">
        <f t="shared" si="28"/>
        <v>167</v>
      </c>
      <c r="B178" s="34">
        <f>Timesheet!B184</f>
        <v>0</v>
      </c>
      <c r="C178" s="35">
        <f>Timesheet!C184</f>
        <v>0</v>
      </c>
      <c r="D178" s="36">
        <f t="shared" si="30"/>
        <v>0</v>
      </c>
      <c r="E178" s="84" t="str">
        <f t="shared" si="26"/>
        <v/>
      </c>
      <c r="F178" s="61"/>
      <c r="G178" s="37">
        <f t="shared" si="27"/>
        <v>0</v>
      </c>
    </row>
    <row r="179" spans="1:7" x14ac:dyDescent="0.25">
      <c r="A179" s="33">
        <f t="shared" si="28"/>
        <v>168</v>
      </c>
      <c r="B179" s="34">
        <f>Timesheet!B185</f>
        <v>0</v>
      </c>
      <c r="C179" s="35">
        <f>Timesheet!C185</f>
        <v>0</v>
      </c>
      <c r="D179" s="36">
        <f t="shared" si="30"/>
        <v>0</v>
      </c>
      <c r="E179" s="84" t="str">
        <f t="shared" si="26"/>
        <v/>
      </c>
      <c r="F179" s="61"/>
      <c r="G179" s="37">
        <f t="shared" si="27"/>
        <v>0</v>
      </c>
    </row>
    <row r="180" spans="1:7" x14ac:dyDescent="0.25">
      <c r="A180" s="33">
        <f t="shared" si="28"/>
        <v>169</v>
      </c>
      <c r="B180" s="34">
        <f>Timesheet!B186</f>
        <v>0</v>
      </c>
      <c r="C180" s="35">
        <f>Timesheet!C186</f>
        <v>0</v>
      </c>
      <c r="D180" s="36">
        <f t="shared" si="30"/>
        <v>0</v>
      </c>
      <c r="E180" s="84" t="str">
        <f t="shared" si="26"/>
        <v/>
      </c>
      <c r="F180" s="61"/>
      <c r="G180" s="37">
        <f t="shared" si="27"/>
        <v>0</v>
      </c>
    </row>
    <row r="181" spans="1:7" ht="13" thickBot="1" x14ac:dyDescent="0.3">
      <c r="A181" s="58">
        <f t="shared" si="28"/>
        <v>170</v>
      </c>
      <c r="B181" s="34">
        <f>Timesheet!B187</f>
        <v>0</v>
      </c>
      <c r="C181" s="35">
        <f>Timesheet!C187</f>
        <v>0</v>
      </c>
      <c r="D181" s="59"/>
      <c r="E181" s="84" t="str">
        <f t="shared" si="26"/>
        <v/>
      </c>
      <c r="F181" s="61"/>
      <c r="G181" s="37">
        <f t="shared" si="27"/>
        <v>0</v>
      </c>
    </row>
  </sheetData>
  <mergeCells count="20">
    <mergeCell ref="A1:L1"/>
    <mergeCell ref="N11:N20"/>
    <mergeCell ref="E10:F10"/>
    <mergeCell ref="N21:N22"/>
    <mergeCell ref="I16:L16"/>
    <mergeCell ref="N60:O60"/>
    <mergeCell ref="I3:J3"/>
    <mergeCell ref="I4:J4"/>
    <mergeCell ref="C3:D3"/>
    <mergeCell ref="C4:D4"/>
    <mergeCell ref="K3:L3"/>
    <mergeCell ref="K4:L4"/>
    <mergeCell ref="N36:N45"/>
    <mergeCell ref="N46:N47"/>
    <mergeCell ref="N48:N57"/>
    <mergeCell ref="N8:T8"/>
    <mergeCell ref="N9:O9"/>
    <mergeCell ref="N34:O34"/>
    <mergeCell ref="I31:L31"/>
    <mergeCell ref="N23:N32"/>
  </mergeCells>
  <phoneticPr fontId="0" type="noConversion"/>
  <conditionalFormatting sqref="K45">
    <cfRule type="cellIs" dxfId="1" priority="1" stopIfTrue="1" operator="notEqual">
      <formula>0</formula>
    </cfRule>
    <cfRule type="cellIs" dxfId="0" priority="2" stopIfTrue="1" operator="equal">
      <formula>0</formula>
    </cfRule>
  </conditionalFormatting>
  <pageMargins left="0.75" right="0.75" top="1" bottom="1" header="0.5" footer="0.5"/>
  <pageSetup orientation="portrait" horizontalDpi="36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A1:AB2"/>
  <sheetViews>
    <sheetView workbookViewId="0">
      <selection activeCell="AA1" sqref="AA1"/>
    </sheetView>
  </sheetViews>
  <sheetFormatPr defaultRowHeight="12.5" x14ac:dyDescent="0.25"/>
  <sheetData>
    <row r="1" spans="27:28" x14ac:dyDescent="0.25">
      <c r="AA1" s="147" t="s">
        <v>166</v>
      </c>
      <c r="AB1" s="146"/>
    </row>
    <row r="2" spans="27:28" x14ac:dyDescent="0.25">
      <c r="AA2" s="146"/>
      <c r="AB2" s="146"/>
    </row>
  </sheetData>
  <phoneticPr fontId="14"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38:L38"/>
  <sheetViews>
    <sheetView topLeftCell="A4" workbookViewId="0">
      <selection activeCell="D37" sqref="D37"/>
    </sheetView>
  </sheetViews>
  <sheetFormatPr defaultRowHeight="12.5" x14ac:dyDescent="0.25"/>
  <cols>
    <col min="2" max="2" width="19.7265625" customWidth="1"/>
  </cols>
  <sheetData>
    <row r="38" spans="1:12" x14ac:dyDescent="0.25">
      <c r="A38" s="132" t="s">
        <v>167</v>
      </c>
      <c r="B38" s="148" t="str">
        <f>CONCATENATE(VA_name," breakdown")</f>
        <v>VA breakdown</v>
      </c>
      <c r="K38" s="132" t="s">
        <v>167</v>
      </c>
      <c r="L38" s="148" t="str">
        <f>CONCATENATE(NVA_name," breakdown")</f>
        <v>NVA breakdown</v>
      </c>
    </row>
  </sheetData>
  <phoneticPr fontId="1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P52"/>
  <sheetViews>
    <sheetView topLeftCell="A10" workbookViewId="0">
      <selection activeCell="I32" sqref="I32"/>
    </sheetView>
  </sheetViews>
  <sheetFormatPr defaultRowHeight="12.5" x14ac:dyDescent="0.25"/>
  <cols>
    <col min="2" max="2" width="37.7265625" customWidth="1"/>
    <col min="3" max="8" width="9.54296875" customWidth="1"/>
    <col min="13" max="13" width="33.7265625" bestFit="1" customWidth="1"/>
  </cols>
  <sheetData>
    <row r="1" spans="1:16" ht="12.5" customHeight="1" x14ac:dyDescent="0.25">
      <c r="A1" s="202" t="s">
        <v>142</v>
      </c>
      <c r="B1" s="202"/>
      <c r="C1" s="202"/>
    </row>
    <row r="2" spans="1:16" ht="18" thickBot="1" x14ac:dyDescent="0.3">
      <c r="A2" s="130"/>
      <c r="B2" s="130"/>
      <c r="C2" s="130"/>
      <c r="D2" s="131"/>
    </row>
    <row r="3" spans="1:16" ht="13.5" thickBot="1" x14ac:dyDescent="0.35">
      <c r="A3" s="197" t="str">
        <f>NVA_name</f>
        <v>NVA</v>
      </c>
      <c r="B3" s="198"/>
      <c r="C3" s="198"/>
      <c r="D3" s="199"/>
      <c r="E3" s="208" t="s">
        <v>136</v>
      </c>
      <c r="F3" s="209"/>
      <c r="G3" s="209"/>
      <c r="H3" s="210"/>
    </row>
    <row r="4" spans="1:16" ht="15" x14ac:dyDescent="0.3">
      <c r="A4" s="22"/>
      <c r="B4" s="23" t="str">
        <f>'Categories Calcul'!J17</f>
        <v>Description</v>
      </c>
      <c r="C4" s="24" t="str">
        <f>'Categories Calcul'!K17</f>
        <v>Duration</v>
      </c>
      <c r="D4" s="25" t="str">
        <f>'Categories Calcul'!L17</f>
        <v>% of</v>
      </c>
      <c r="E4" s="216" t="s">
        <v>138</v>
      </c>
      <c r="F4" s="211"/>
      <c r="G4" s="211" t="s">
        <v>137</v>
      </c>
      <c r="H4" s="212"/>
      <c r="I4" s="211" t="s">
        <v>139</v>
      </c>
      <c r="J4" s="212"/>
      <c r="K4" s="129"/>
      <c r="M4" s="133" t="s">
        <v>146</v>
      </c>
      <c r="N4" s="106"/>
      <c r="O4" s="106"/>
      <c r="P4" s="106"/>
    </row>
    <row r="5" spans="1:16" ht="15.5" thickBot="1" x14ac:dyDescent="0.35">
      <c r="A5" s="114" t="s">
        <v>55</v>
      </c>
      <c r="B5" s="115" t="str">
        <f>'Categories Calcul'!J18</f>
        <v>Cause</v>
      </c>
      <c r="C5" s="19" t="str">
        <f>'Categories Calcul'!K18</f>
        <v>Categ.</v>
      </c>
      <c r="D5" s="116" t="str">
        <f>'Categories Calcul'!L18</f>
        <v>time</v>
      </c>
      <c r="E5" s="117" t="s">
        <v>36</v>
      </c>
      <c r="F5" s="118" t="s">
        <v>37</v>
      </c>
      <c r="G5" s="118" t="s">
        <v>36</v>
      </c>
      <c r="H5" s="119" t="s">
        <v>37</v>
      </c>
      <c r="I5" s="118" t="s">
        <v>36</v>
      </c>
      <c r="J5" s="119" t="s">
        <v>37</v>
      </c>
      <c r="K5" s="129"/>
      <c r="N5" s="132" t="s">
        <v>141</v>
      </c>
      <c r="O5" s="132" t="s">
        <v>36</v>
      </c>
      <c r="P5" s="132" t="s">
        <v>37</v>
      </c>
    </row>
    <row r="6" spans="1:16" x14ac:dyDescent="0.25">
      <c r="A6" s="48">
        <v>1</v>
      </c>
      <c r="B6" s="120" t="str">
        <f>VLOOKUP($A6,'Categories Calcul'!$P$23:$T$32,5,FALSE)</f>
        <v>Available</v>
      </c>
      <c r="C6" s="121">
        <f>IF(B6&lt;&gt;"",VLOOKUP(Improvement!B6,'Categories Calcul'!$J$19:$L$28,2,FALSE),0)</f>
        <v>2.4999999999999967E-2</v>
      </c>
      <c r="D6" s="122">
        <f>IF(B6&lt;&gt;"",VLOOKUP(Improvement!B6,'Categories Calcul'!$J$19:$L$28,3,FALSE),0)</f>
        <v>0.15929203539822978</v>
      </c>
      <c r="E6" s="123">
        <v>0.2</v>
      </c>
      <c r="F6" s="123">
        <v>0.3</v>
      </c>
      <c r="G6" s="124">
        <f t="shared" ref="G6:G15" si="0">E6*C6</f>
        <v>4.999999999999994E-3</v>
      </c>
      <c r="H6" s="125">
        <f>F6*C6</f>
        <v>7.4999999999999893E-3</v>
      </c>
      <c r="I6" s="124">
        <f>$C6-G6</f>
        <v>1.9999999999999973E-2</v>
      </c>
      <c r="J6" s="125">
        <f t="shared" ref="J6:J15" si="1">$C6-H6</f>
        <v>1.7499999999999977E-2</v>
      </c>
      <c r="K6" s="92"/>
      <c r="M6" t="str">
        <f>B6</f>
        <v>Available</v>
      </c>
      <c r="N6" s="92">
        <f>C6</f>
        <v>2.4999999999999967E-2</v>
      </c>
      <c r="O6" s="92">
        <f t="shared" ref="O6:O15" si="2">I6</f>
        <v>1.9999999999999973E-2</v>
      </c>
      <c r="P6" s="92">
        <f t="shared" ref="P6:P15" si="3">J6</f>
        <v>1.7499999999999977E-2</v>
      </c>
    </row>
    <row r="7" spans="1:16" x14ac:dyDescent="0.25">
      <c r="A7" s="52">
        <v>2</v>
      </c>
      <c r="B7" s="34" t="str">
        <f>VLOOKUP($A7,'Categories Calcul'!$P$23:$T$32,5,FALSE)</f>
        <v>Waiting</v>
      </c>
      <c r="C7" s="126">
        <f>IF(B7&lt;&gt;"",VLOOKUP(Improvement!B7,'Categories Calcul'!$J$19:$L$28,2,FALSE),0)</f>
        <v>2.3611111111111027E-2</v>
      </c>
      <c r="D7" s="45">
        <f>IF(B7&lt;&gt;"",VLOOKUP(Improvement!B7,'Categories Calcul'!$J$19:$L$28,3,FALSE),0)</f>
        <v>0.1504424778761056</v>
      </c>
      <c r="E7" s="99">
        <v>0.3</v>
      </c>
      <c r="F7" s="99">
        <v>0.4</v>
      </c>
      <c r="G7" s="97">
        <f t="shared" si="0"/>
        <v>7.0833333333333078E-3</v>
      </c>
      <c r="H7" s="93">
        <f t="shared" ref="H7:H15" si="4">F7*C7</f>
        <v>9.4444444444444116E-3</v>
      </c>
      <c r="I7" s="97">
        <f t="shared" ref="I7:I15" si="5">$C7-G7</f>
        <v>1.6527777777777718E-2</v>
      </c>
      <c r="J7" s="93">
        <f t="shared" si="1"/>
        <v>1.4166666666666616E-2</v>
      </c>
      <c r="K7" s="92"/>
      <c r="M7" t="str">
        <f t="shared" ref="M7:M15" si="6">B7</f>
        <v>Waiting</v>
      </c>
      <c r="N7" s="92">
        <f t="shared" ref="N7:N15" si="7">C7</f>
        <v>2.3611111111111027E-2</v>
      </c>
      <c r="O7" s="92">
        <f t="shared" si="2"/>
        <v>1.6527777777777718E-2</v>
      </c>
      <c r="P7" s="92">
        <f t="shared" si="3"/>
        <v>1.4166666666666616E-2</v>
      </c>
    </row>
    <row r="8" spans="1:16" x14ac:dyDescent="0.25">
      <c r="A8" s="52">
        <v>3</v>
      </c>
      <c r="B8" s="34" t="str">
        <f>VLOOKUP($A8,'Categories Calcul'!$P$23:$T$32,5,FALSE)</f>
        <v>Rework</v>
      </c>
      <c r="C8" s="126">
        <f>IF(B8&lt;&gt;"",VLOOKUP(Improvement!B8,'Categories Calcul'!$J$19:$L$28,2,FALSE),0)</f>
        <v>2.2916666666666641E-2</v>
      </c>
      <c r="D8" s="45">
        <f>IF(B8&lt;&gt;"",VLOOKUP(Improvement!B8,'Categories Calcul'!$J$19:$L$28,3,FALSE),0)</f>
        <v>0.146017699115044</v>
      </c>
      <c r="E8" s="99">
        <v>0.1</v>
      </c>
      <c r="F8" s="99">
        <v>0.2</v>
      </c>
      <c r="G8" s="97">
        <f t="shared" si="0"/>
        <v>2.2916666666666641E-3</v>
      </c>
      <c r="H8" s="93">
        <f t="shared" si="4"/>
        <v>4.5833333333333282E-3</v>
      </c>
      <c r="I8" s="97">
        <f t="shared" si="5"/>
        <v>2.0624999999999977E-2</v>
      </c>
      <c r="J8" s="93">
        <f t="shared" si="1"/>
        <v>1.8333333333333313E-2</v>
      </c>
      <c r="K8" s="92"/>
      <c r="M8" t="str">
        <f t="shared" si="6"/>
        <v>Rework</v>
      </c>
      <c r="N8" s="92">
        <f t="shared" si="7"/>
        <v>2.2916666666666641E-2</v>
      </c>
      <c r="O8" s="92">
        <f t="shared" si="2"/>
        <v>2.0624999999999977E-2</v>
      </c>
      <c r="P8" s="92">
        <f t="shared" si="3"/>
        <v>1.8333333333333313E-2</v>
      </c>
    </row>
    <row r="9" spans="1:16" x14ac:dyDescent="0.25">
      <c r="A9" s="52">
        <v>4</v>
      </c>
      <c r="B9" s="34" t="str">
        <f>VLOOKUP($A9,'Categories Calcul'!$P$23:$T$32,5,FALSE)</f>
        <v>Extended break</v>
      </c>
      <c r="C9" s="126">
        <f>IF(B9&lt;&gt;"",VLOOKUP(Improvement!B9,'Categories Calcul'!$J$19:$L$28,2,FALSE),0)</f>
        <v>2.1527777777777923E-2</v>
      </c>
      <c r="D9" s="45">
        <f>IF(B9&lt;&gt;"",VLOOKUP(Improvement!B9,'Categories Calcul'!$J$19:$L$28,3,FALSE),0)</f>
        <v>0.13716814159292121</v>
      </c>
      <c r="E9" s="99">
        <v>0.1</v>
      </c>
      <c r="F9" s="99">
        <v>0.2</v>
      </c>
      <c r="G9" s="97">
        <f t="shared" si="0"/>
        <v>2.1527777777777925E-3</v>
      </c>
      <c r="H9" s="93">
        <f t="shared" si="4"/>
        <v>4.305555555555585E-3</v>
      </c>
      <c r="I9" s="97">
        <f t="shared" si="5"/>
        <v>1.9375000000000132E-2</v>
      </c>
      <c r="J9" s="93">
        <f t="shared" si="1"/>
        <v>1.722222222222234E-2</v>
      </c>
      <c r="K9" s="92"/>
      <c r="M9" t="str">
        <f t="shared" si="6"/>
        <v>Extended break</v>
      </c>
      <c r="N9" s="92">
        <f t="shared" si="7"/>
        <v>2.1527777777777923E-2</v>
      </c>
      <c r="O9" s="92">
        <f t="shared" si="2"/>
        <v>1.9375000000000132E-2</v>
      </c>
      <c r="P9" s="92">
        <f t="shared" si="3"/>
        <v>1.722222222222234E-2</v>
      </c>
    </row>
    <row r="10" spans="1:16" x14ac:dyDescent="0.25">
      <c r="A10" s="52">
        <v>5</v>
      </c>
      <c r="B10" s="34" t="str">
        <f>VLOOKUP($A10,'Categories Calcul'!$P$23:$T$32,5,FALSE)</f>
        <v>Travel</v>
      </c>
      <c r="C10" s="126">
        <f>IF(B10&lt;&gt;"",VLOOKUP(Improvement!B10,'Categories Calcul'!$J$19:$L$28,2,FALSE),0)</f>
        <v>1.8055555555555547E-2</v>
      </c>
      <c r="D10" s="45">
        <f>IF(B10&lt;&gt;"",VLOOKUP(Improvement!B10,'Categories Calcul'!$J$19:$L$28,3,FALSE),0)</f>
        <v>0.11504424778761051</v>
      </c>
      <c r="E10" s="99">
        <v>0.2</v>
      </c>
      <c r="F10" s="99">
        <v>0.3</v>
      </c>
      <c r="G10" s="97">
        <f t="shared" si="0"/>
        <v>3.6111111111111096E-3</v>
      </c>
      <c r="H10" s="93">
        <f t="shared" si="4"/>
        <v>5.4166666666666642E-3</v>
      </c>
      <c r="I10" s="97">
        <f t="shared" si="5"/>
        <v>1.4444444444444437E-2</v>
      </c>
      <c r="J10" s="93">
        <f t="shared" si="1"/>
        <v>1.2638888888888884E-2</v>
      </c>
      <c r="K10" s="92"/>
      <c r="M10" t="str">
        <f t="shared" si="6"/>
        <v>Travel</v>
      </c>
      <c r="N10" s="92">
        <f t="shared" si="7"/>
        <v>1.8055555555555547E-2</v>
      </c>
      <c r="O10" s="92">
        <f t="shared" si="2"/>
        <v>1.4444444444444437E-2</v>
      </c>
      <c r="P10" s="92">
        <f t="shared" si="3"/>
        <v>1.2638888888888884E-2</v>
      </c>
    </row>
    <row r="11" spans="1:16" x14ac:dyDescent="0.25">
      <c r="A11" s="52">
        <v>6</v>
      </c>
      <c r="B11" s="34" t="str">
        <f>VLOOKUP($A11,'Categories Calcul'!$P$23:$T$32,5,FALSE)</f>
        <v>Excessive Calling/alerting</v>
      </c>
      <c r="C11" s="126">
        <f>IF(B11&lt;&gt;"",VLOOKUP(Improvement!B11,'Categories Calcul'!$J$19:$L$28,2,FALSE),0)</f>
        <v>1.5277777777777779E-2</v>
      </c>
      <c r="D11" s="45">
        <f>IF(B11&lt;&gt;"",VLOOKUP(Improvement!B11,'Categories Calcul'!$J$19:$L$28,3,FALSE),0)</f>
        <v>9.7345132743362789E-2</v>
      </c>
      <c r="E11" s="99">
        <v>0.1</v>
      </c>
      <c r="F11" s="99">
        <v>0.2</v>
      </c>
      <c r="G11" s="97">
        <f t="shared" si="0"/>
        <v>1.5277777777777781E-3</v>
      </c>
      <c r="H11" s="93">
        <f t="shared" si="4"/>
        <v>3.0555555555555561E-3</v>
      </c>
      <c r="I11" s="97">
        <f t="shared" si="5"/>
        <v>1.3750000000000002E-2</v>
      </c>
      <c r="J11" s="93">
        <f t="shared" si="1"/>
        <v>1.2222222222222223E-2</v>
      </c>
      <c r="K11" s="92"/>
      <c r="M11" t="str">
        <f t="shared" si="6"/>
        <v>Excessive Calling/alerting</v>
      </c>
      <c r="N11" s="92">
        <f t="shared" si="7"/>
        <v>1.5277777777777779E-2</v>
      </c>
      <c r="O11" s="92">
        <f t="shared" si="2"/>
        <v>1.3750000000000002E-2</v>
      </c>
      <c r="P11" s="92">
        <f t="shared" si="3"/>
        <v>1.2222222222222223E-2</v>
      </c>
    </row>
    <row r="12" spans="1:16" x14ac:dyDescent="0.25">
      <c r="A12" s="52">
        <v>7</v>
      </c>
      <c r="B12" s="34" t="str">
        <f>VLOOKUP($A12,'Categories Calcul'!$P$23:$T$32,5,FALSE)</f>
        <v>Administrative tasks/keing reporting data</v>
      </c>
      <c r="C12" s="126">
        <f>IF(B12&lt;&gt;"",VLOOKUP(Improvement!B12,'Categories Calcul'!$J$19:$L$28,2,FALSE),0)</f>
        <v>1.3194444444444481E-2</v>
      </c>
      <c r="D12" s="45">
        <f>IF(B12&lt;&gt;"",VLOOKUP(Improvement!B12,'Categories Calcul'!$J$19:$L$28,3,FALSE),0)</f>
        <v>8.4070796460177177E-2</v>
      </c>
      <c r="E12" s="99">
        <v>0.1</v>
      </c>
      <c r="F12" s="99">
        <v>0.2</v>
      </c>
      <c r="G12" s="97">
        <f t="shared" si="0"/>
        <v>1.3194444444444482E-3</v>
      </c>
      <c r="H12" s="93">
        <f t="shared" si="4"/>
        <v>2.6388888888888963E-3</v>
      </c>
      <c r="I12" s="97">
        <f t="shared" si="5"/>
        <v>1.1875000000000033E-2</v>
      </c>
      <c r="J12" s="93">
        <f t="shared" si="1"/>
        <v>1.0555555555555585E-2</v>
      </c>
      <c r="K12" s="92"/>
      <c r="M12" t="str">
        <f t="shared" si="6"/>
        <v>Administrative tasks/keing reporting data</v>
      </c>
      <c r="N12" s="92">
        <f t="shared" si="7"/>
        <v>1.3194444444444481E-2</v>
      </c>
      <c r="O12" s="92">
        <f t="shared" si="2"/>
        <v>1.1875000000000033E-2</v>
      </c>
      <c r="P12" s="92">
        <f t="shared" si="3"/>
        <v>1.0555555555555585E-2</v>
      </c>
    </row>
    <row r="13" spans="1:16" x14ac:dyDescent="0.25">
      <c r="A13" s="52">
        <v>8</v>
      </c>
      <c r="B13" s="34" t="str">
        <f>VLOOKUP($A13,'Categories Calcul'!$P$23:$T$32,5,FALSE)</f>
        <v>Non active meetings</v>
      </c>
      <c r="C13" s="126">
        <f>IF(B13&lt;&gt;"",VLOOKUP(Improvement!B13,'Categories Calcul'!$J$19:$L$28,2,FALSE),0)</f>
        <v>1.1805555555555569E-2</v>
      </c>
      <c r="D13" s="45">
        <f>IF(B13&lt;&gt;"",VLOOKUP(Improvement!B13,'Categories Calcul'!$J$19:$L$28,3,FALSE),0)</f>
        <v>7.5221238938053145E-2</v>
      </c>
      <c r="E13" s="99">
        <v>0.3</v>
      </c>
      <c r="F13" s="99">
        <v>0.4</v>
      </c>
      <c r="G13" s="97">
        <f t="shared" si="0"/>
        <v>3.5416666666666704E-3</v>
      </c>
      <c r="H13" s="93">
        <f t="shared" si="4"/>
        <v>4.7222222222222283E-3</v>
      </c>
      <c r="I13" s="97">
        <f t="shared" si="5"/>
        <v>8.2638888888888987E-3</v>
      </c>
      <c r="J13" s="93">
        <f t="shared" si="1"/>
        <v>7.0833333333333408E-3</v>
      </c>
      <c r="K13" s="92"/>
      <c r="M13" t="str">
        <f t="shared" si="6"/>
        <v>Non active meetings</v>
      </c>
      <c r="N13" s="92">
        <f t="shared" si="7"/>
        <v>1.1805555555555569E-2</v>
      </c>
      <c r="O13" s="92">
        <f t="shared" si="2"/>
        <v>8.2638888888888987E-3</v>
      </c>
      <c r="P13" s="92">
        <f t="shared" si="3"/>
        <v>7.0833333333333408E-3</v>
      </c>
    </row>
    <row r="14" spans="1:16" x14ac:dyDescent="0.25">
      <c r="A14" s="52">
        <v>9</v>
      </c>
      <c r="B14" s="34" t="str">
        <f>VLOOKUP($A14,'Categories Calcul'!$P$23:$T$32,5,FALSE)</f>
        <v>Training</v>
      </c>
      <c r="C14" s="126">
        <f>IF(B14&lt;&gt;"",VLOOKUP(Improvement!B14,'Categories Calcul'!$J$19:$L$28,2,FALSE),0)</f>
        <v>4.8611111111111494E-3</v>
      </c>
      <c r="D14" s="45">
        <f>IF(B14&lt;&gt;"",VLOOKUP(Improvement!B14,'Categories Calcul'!$J$19:$L$28,3,FALSE),0)</f>
        <v>3.0973451327433857E-2</v>
      </c>
      <c r="E14" s="99">
        <v>0.2</v>
      </c>
      <c r="F14" s="99">
        <v>0.3</v>
      </c>
      <c r="G14" s="97">
        <f t="shared" si="0"/>
        <v>9.7222222222222989E-4</v>
      </c>
      <c r="H14" s="93">
        <f t="shared" si="4"/>
        <v>1.4583333333333447E-3</v>
      </c>
      <c r="I14" s="97">
        <f t="shared" si="5"/>
        <v>3.8888888888889196E-3</v>
      </c>
      <c r="J14" s="93">
        <f t="shared" si="1"/>
        <v>3.4027777777778049E-3</v>
      </c>
      <c r="K14" s="92"/>
      <c r="M14" t="str">
        <f t="shared" si="6"/>
        <v>Training</v>
      </c>
      <c r="N14" s="92">
        <f t="shared" si="7"/>
        <v>4.8611111111111494E-3</v>
      </c>
      <c r="O14" s="92">
        <f t="shared" si="2"/>
        <v>3.8888888888889196E-3</v>
      </c>
      <c r="P14" s="92">
        <f t="shared" si="3"/>
        <v>3.4027777777778049E-3</v>
      </c>
    </row>
    <row r="15" spans="1:16" ht="13" thickBot="1" x14ac:dyDescent="0.3">
      <c r="A15" s="41">
        <v>10</v>
      </c>
      <c r="B15" s="42" t="str">
        <f>VLOOKUP($A15,'Categories Calcul'!$P$23:$T$32,5,FALSE)</f>
        <v/>
      </c>
      <c r="C15" s="127">
        <f>IF(B15&lt;&gt;"",VLOOKUP(Improvement!B15,'Categories Calcul'!$J$19:$L$28,2,FALSE),0)</f>
        <v>0</v>
      </c>
      <c r="D15" s="128">
        <f>IF(B15&lt;&gt;"",VLOOKUP(Improvement!B15,'Categories Calcul'!$J$19:$L$28,3,FALSE),0)</f>
        <v>0</v>
      </c>
      <c r="E15" s="100"/>
      <c r="F15" s="100"/>
      <c r="G15" s="98">
        <f t="shared" si="0"/>
        <v>0</v>
      </c>
      <c r="H15" s="94">
        <f t="shared" si="4"/>
        <v>0</v>
      </c>
      <c r="I15" s="98">
        <f t="shared" si="5"/>
        <v>0</v>
      </c>
      <c r="J15" s="94">
        <f t="shared" si="1"/>
        <v>0</v>
      </c>
      <c r="K15" s="92"/>
      <c r="M15" t="str">
        <f t="shared" si="6"/>
        <v/>
      </c>
      <c r="N15" s="92">
        <f t="shared" si="7"/>
        <v>0</v>
      </c>
      <c r="O15" s="92">
        <f t="shared" si="2"/>
        <v>0</v>
      </c>
      <c r="P15" s="92">
        <f t="shared" si="3"/>
        <v>0</v>
      </c>
    </row>
    <row r="16" spans="1:16" ht="13" x14ac:dyDescent="0.3">
      <c r="A16" s="6"/>
      <c r="B16" s="46" t="s">
        <v>41</v>
      </c>
      <c r="C16" s="56">
        <f>SUM(C6:C15)</f>
        <v>0.15625000000000008</v>
      </c>
      <c r="D16" s="6"/>
      <c r="E16" s="215" t="s">
        <v>41</v>
      </c>
      <c r="F16" s="215"/>
      <c r="G16" s="95">
        <f>SUM(G6:G15)</f>
        <v>2.7499999999999997E-2</v>
      </c>
      <c r="H16" s="95">
        <f>SUM(H6:H15)</f>
        <v>4.3125000000000004E-2</v>
      </c>
      <c r="I16" s="95">
        <f>SUM(I6:I15)</f>
        <v>0.12875000000000009</v>
      </c>
      <c r="J16" s="95">
        <f>SUM(J6:J15)</f>
        <v>0.11312500000000007</v>
      </c>
      <c r="K16" s="95"/>
    </row>
    <row r="17" spans="2:14" x14ac:dyDescent="0.25">
      <c r="E17" s="203" t="s">
        <v>147</v>
      </c>
      <c r="F17" s="203"/>
      <c r="G17" s="96">
        <f>G16/$C$16</f>
        <v>0.17599999999999988</v>
      </c>
      <c r="H17" s="96">
        <f>H16/$C$16</f>
        <v>0.27599999999999986</v>
      </c>
      <c r="I17" s="96">
        <f>I16/$C$16</f>
        <v>0.82400000000000007</v>
      </c>
      <c r="J17" s="96">
        <f>J16/$C$16</f>
        <v>0.72400000000000009</v>
      </c>
    </row>
    <row r="18" spans="2:14" x14ac:dyDescent="0.25">
      <c r="E18" s="203" t="s">
        <v>140</v>
      </c>
      <c r="F18" s="203"/>
      <c r="G18" s="213">
        <f>AVERAGE(G16:H16)</f>
        <v>3.5312499999999997E-2</v>
      </c>
      <c r="H18" s="213"/>
      <c r="I18" s="213">
        <f>AVERAGE(I16:J16)</f>
        <v>0.12093750000000009</v>
      </c>
      <c r="J18" s="213"/>
    </row>
    <row r="19" spans="2:14" x14ac:dyDescent="0.25">
      <c r="E19" s="203" t="s">
        <v>148</v>
      </c>
      <c r="F19" s="203"/>
      <c r="G19" s="214">
        <f>G18/$C$16</f>
        <v>0.22599999999999987</v>
      </c>
      <c r="H19" s="214"/>
      <c r="I19" s="214">
        <f>I18/$C$16</f>
        <v>0.77400000000000013</v>
      </c>
      <c r="J19" s="214"/>
    </row>
    <row r="20" spans="2:14" x14ac:dyDescent="0.25">
      <c r="E20" s="132"/>
      <c r="F20" s="132"/>
      <c r="G20" s="157"/>
      <c r="H20" s="157"/>
      <c r="I20" s="157"/>
      <c r="J20" s="157"/>
    </row>
    <row r="21" spans="2:14" ht="13" thickBot="1" x14ac:dyDescent="0.3"/>
    <row r="22" spans="2:14" ht="13" thickBot="1" x14ac:dyDescent="0.3">
      <c r="B22" s="66"/>
      <c r="C22" s="205" t="s">
        <v>150</v>
      </c>
      <c r="D22" s="206"/>
      <c r="E22" s="206"/>
      <c r="F22" s="206" t="s">
        <v>151</v>
      </c>
      <c r="G22" s="206"/>
      <c r="H22" s="207"/>
    </row>
    <row r="23" spans="2:14" ht="13" thickBot="1" x14ac:dyDescent="0.3">
      <c r="B23" s="141"/>
      <c r="C23" s="142" t="s">
        <v>141</v>
      </c>
      <c r="D23" s="143" t="s">
        <v>36</v>
      </c>
      <c r="E23" s="143" t="s">
        <v>37</v>
      </c>
      <c r="F23" s="143" t="s">
        <v>141</v>
      </c>
      <c r="G23" s="143" t="s">
        <v>36</v>
      </c>
      <c r="H23" s="144" t="s">
        <v>37</v>
      </c>
      <c r="M23" s="158" t="s">
        <v>182</v>
      </c>
      <c r="N23" s="159" t="s">
        <v>183</v>
      </c>
    </row>
    <row r="24" spans="2:14" x14ac:dyDescent="0.25">
      <c r="B24" s="140" t="str">
        <f>VA_name</f>
        <v>VA</v>
      </c>
      <c r="C24" s="97">
        <f>C26-C25</f>
        <v>0.17708333333333329</v>
      </c>
      <c r="D24" s="97">
        <f>$C24+G$16</f>
        <v>0.20458333333333328</v>
      </c>
      <c r="E24" s="97">
        <f>$C24+H$16</f>
        <v>0.22020833333333328</v>
      </c>
      <c r="F24" s="135">
        <f>C24/C$26</f>
        <v>0.53124999999999978</v>
      </c>
      <c r="G24" s="135">
        <f t="shared" ref="G24:G26" si="8">D24/D$26</f>
        <v>0.6137499999999998</v>
      </c>
      <c r="H24" s="136">
        <f>E24/E$26</f>
        <v>0.6606249999999998</v>
      </c>
      <c r="M24" s="134" t="str">
        <f>CONCATENATE("Initial ",VA_name,)</f>
        <v>Initial VA</v>
      </c>
      <c r="N24" s="93">
        <f>C24</f>
        <v>0.17708333333333329</v>
      </c>
    </row>
    <row r="25" spans="2:14" x14ac:dyDescent="0.25">
      <c r="B25" s="134" t="str">
        <f>NVA_name</f>
        <v>NVA</v>
      </c>
      <c r="C25" s="97">
        <f>C16</f>
        <v>0.15625000000000008</v>
      </c>
      <c r="D25" s="97">
        <f>$C25-G$16</f>
        <v>0.12875000000000009</v>
      </c>
      <c r="E25" s="97">
        <f>$C25-H$16</f>
        <v>0.11312500000000009</v>
      </c>
      <c r="F25" s="135">
        <f t="shared" ref="F25:F26" si="9">C25/C$26</f>
        <v>0.46875000000000022</v>
      </c>
      <c r="G25" s="135">
        <f t="shared" si="8"/>
        <v>0.3862500000000002</v>
      </c>
      <c r="H25" s="136">
        <f t="shared" ref="H25:H26" si="10">E25/E$26</f>
        <v>0.3393750000000002</v>
      </c>
      <c r="M25" s="134" t="str">
        <f>CONCATENATE("Target ",NVA_name)</f>
        <v>Target NVA</v>
      </c>
      <c r="N25" s="93">
        <f>D25</f>
        <v>0.12875000000000009</v>
      </c>
    </row>
    <row r="26" spans="2:14" ht="13" thickBot="1" x14ac:dyDescent="0.3">
      <c r="B26" s="137" t="s">
        <v>38</v>
      </c>
      <c r="C26" s="98">
        <f>'Categories Calcul'!K14</f>
        <v>0.33333333333333337</v>
      </c>
      <c r="D26" s="98">
        <f>SUM(D24:D25)</f>
        <v>0.33333333333333337</v>
      </c>
      <c r="E26" s="98">
        <f>SUM(E24:E25)</f>
        <v>0.33333333333333337</v>
      </c>
      <c r="F26" s="138">
        <f t="shared" si="9"/>
        <v>1</v>
      </c>
      <c r="G26" s="138">
        <f t="shared" si="8"/>
        <v>1</v>
      </c>
      <c r="H26" s="139">
        <f t="shared" si="10"/>
        <v>1</v>
      </c>
      <c r="M26" s="137" t="str">
        <f>CONCATENATE("Additional ",VA_name,)</f>
        <v>Additional VA</v>
      </c>
      <c r="N26" s="94">
        <f>C26-N25-N24</f>
        <v>2.7499999999999997E-2</v>
      </c>
    </row>
    <row r="27" spans="2:14" x14ac:dyDescent="0.25">
      <c r="C27" s="92"/>
      <c r="D27" s="92"/>
      <c r="E27" s="92"/>
    </row>
    <row r="29" spans="2:14" x14ac:dyDescent="0.25">
      <c r="B29" s="133" t="s">
        <v>145</v>
      </c>
      <c r="C29" s="106"/>
      <c r="D29" s="106"/>
      <c r="E29" s="106"/>
      <c r="F29" s="106"/>
      <c r="G29" s="106"/>
      <c r="H29" s="106"/>
    </row>
    <row r="31" spans="2:14" x14ac:dyDescent="0.25">
      <c r="B31" s="132" t="s">
        <v>143</v>
      </c>
      <c r="C31" s="204" t="s">
        <v>144</v>
      </c>
      <c r="D31" s="204"/>
      <c r="E31" s="204"/>
      <c r="F31" s="204"/>
      <c r="G31" s="204"/>
    </row>
    <row r="52" spans="2:13" x14ac:dyDescent="0.25">
      <c r="B52" s="132" t="s">
        <v>149</v>
      </c>
      <c r="C52" s="204" t="s">
        <v>152</v>
      </c>
      <c r="D52" s="204"/>
      <c r="E52" s="204"/>
      <c r="F52" s="204"/>
      <c r="G52" s="204"/>
      <c r="I52" s="204" t="s">
        <v>153</v>
      </c>
      <c r="J52" s="204"/>
      <c r="K52" s="204"/>
      <c r="L52" s="204"/>
      <c r="M52" s="204"/>
    </row>
  </sheetData>
  <mergeCells count="19">
    <mergeCell ref="I52:M52"/>
    <mergeCell ref="E3:H3"/>
    <mergeCell ref="I4:J4"/>
    <mergeCell ref="C31:G31"/>
    <mergeCell ref="G18:H18"/>
    <mergeCell ref="G19:H19"/>
    <mergeCell ref="I18:J18"/>
    <mergeCell ref="I19:J19"/>
    <mergeCell ref="E16:F16"/>
    <mergeCell ref="E17:F17"/>
    <mergeCell ref="A3:D3"/>
    <mergeCell ref="E4:F4"/>
    <mergeCell ref="G4:H4"/>
    <mergeCell ref="A1:C1"/>
    <mergeCell ref="E18:F18"/>
    <mergeCell ref="E19:F19"/>
    <mergeCell ref="C52:G52"/>
    <mergeCell ref="C22:E22"/>
    <mergeCell ref="F22:H22"/>
  </mergeCells>
  <phoneticPr fontId="14"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355B2C0DD24842A317F81361DD656A" ma:contentTypeVersion="7" ma:contentTypeDescription="Create a new document." ma:contentTypeScope="" ma:versionID="20a1cf836f8189a86603d56063247e99">
  <xsd:schema xmlns:xsd="http://www.w3.org/2001/XMLSchema" xmlns:xs="http://www.w3.org/2001/XMLSchema" xmlns:p="http://schemas.microsoft.com/office/2006/metadata/properties" xmlns:ns2="a789f2f9-c978-49ac-a119-7150a42f818b" xmlns:ns3="73e55362-181d-4953-94b4-c98b767b761f" targetNamespace="http://schemas.microsoft.com/office/2006/metadata/properties" ma:root="true" ma:fieldsID="0f610ad03245330b07f3ee8fb402a9f9" ns2:_="" ns3:_="">
    <xsd:import namespace="a789f2f9-c978-49ac-a119-7150a42f818b"/>
    <xsd:import namespace="73e55362-181d-4953-94b4-c98b767b76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9f2f9-c978-49ac-a119-7150a42f81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e55362-181d-4953-94b4-c98b767b761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448AAB-5CAF-46F3-8488-EBCF57620343}">
  <ds:schemaRefs>
    <ds:schemaRef ds:uri="http://www.w3.org/XML/1998/namespace"/>
    <ds:schemaRef ds:uri="http://purl.org/dc/elements/1.1/"/>
    <ds:schemaRef ds:uri="73e55362-181d-4953-94b4-c98b767b761f"/>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a789f2f9-c978-49ac-a119-7150a42f818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D28D476-5CF4-47A4-AB71-7DD5C90B7B32}">
  <ds:schemaRefs>
    <ds:schemaRef ds:uri="http://schemas.microsoft.com/sharepoint/v3/contenttype/forms"/>
  </ds:schemaRefs>
</ds:datastoreItem>
</file>

<file path=customXml/itemProps3.xml><?xml version="1.0" encoding="utf-8"?>
<ds:datastoreItem xmlns:ds="http://schemas.openxmlformats.org/officeDocument/2006/customXml" ds:itemID="{A45AF60F-8985-4E3C-A2D8-20791C4AB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9f2f9-c978-49ac-a119-7150a42f818b"/>
    <ds:schemaRef ds:uri="73e55362-181d-4953-94b4-c98b767b76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4</vt:i4>
      </vt:variant>
      <vt:variant>
        <vt:lpstr>Named Ranges</vt:lpstr>
      </vt:variant>
      <vt:variant>
        <vt:i4>3</vt:i4>
      </vt:variant>
    </vt:vector>
  </HeadingPairs>
  <TitlesOfParts>
    <vt:vector size="13" baseType="lpstr">
      <vt:lpstr>Instructions</vt:lpstr>
      <vt:lpstr>Timesheet</vt:lpstr>
      <vt:lpstr>Categories Calcul</vt:lpstr>
      <vt:lpstr>Chart - Waterfall</vt:lpstr>
      <vt:lpstr>Chart - Pie</vt:lpstr>
      <vt:lpstr>Improvement</vt:lpstr>
      <vt:lpstr>Chart - public</vt:lpstr>
      <vt:lpstr>Chart - detail all</vt:lpstr>
      <vt:lpstr>Chart NVA_VA and NVA details</vt:lpstr>
      <vt:lpstr>Chart NVA details only</vt:lpstr>
      <vt:lpstr>NVA_name</vt:lpstr>
      <vt:lpstr>Timesheet!Print_Area</vt:lpstr>
      <vt:lpstr>VA_name</vt:lpstr>
    </vt:vector>
  </TitlesOfParts>
  <Company>Wevalgo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DILO template - Operator</dc:title>
  <dc:creator>Wevalgo@wevalgo.com</dc:creator>
  <cp:lastModifiedBy>Richard Fontaine</cp:lastModifiedBy>
  <cp:lastPrinted>2005-07-11T17:37:14Z</cp:lastPrinted>
  <dcterms:created xsi:type="dcterms:W3CDTF">1998-03-01T10:29:16Z</dcterms:created>
  <dcterms:modified xsi:type="dcterms:W3CDTF">2019-03-19T09:20:26Z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0x01010020355B2C0DD24842A317F81361DD656A</vt:lpwstr>
  </property>
  <property fmtid="{D5CDD505-2E9C-101B-9397-08002B2CF9AE}" pid="3" name="AuthorIds_UIVersion_2560">
    <vt:lpwstr>12</vt:lpwstr>
  </property>
</Properties>
</file>